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E:\FORMULA RATES SPP\Annual Update Transmission Rates AEP West SPP OpCos and Transcos\True Ups\2022 Annual Update\Filed Documents 5-27-22\"/>
    </mc:Choice>
  </mc:AlternateContent>
  <xr:revisionPtr revIDLastSave="0" documentId="13_ncr:10001_{8420666A-C54D-4F17-AEE8-6FE89B0E5738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Instructions" sheetId="33" r:id="rId1"/>
    <sheet name="Summary" sheetId="29" r:id="rId2"/>
    <sheet name="Pivot" sheetId="31" r:id="rId3"/>
    <sheet name="Transactions" sheetId="18" r:id="rId4"/>
  </sheets>
  <definedNames>
    <definedName name="_xlnm._FilterDatabase" localSheetId="3" hidden="1">Transactions!$A$15:$R$211</definedName>
    <definedName name="AS1_1999" localSheetId="3">Transactions!$C$19:$J$26</definedName>
    <definedName name="AS1_1999">#REF!</definedName>
    <definedName name="Avg_Annual_FERC_Rate">#REF!</definedName>
    <definedName name="etec">#REF!</definedName>
    <definedName name="fake">#REF!</definedName>
    <definedName name="greenbelt">#REF!</definedName>
    <definedName name="janetec">#REF!</definedName>
    <definedName name="lighthouse">#REF!</definedName>
    <definedName name="ntec">#REF!</definedName>
    <definedName name="ompa">#REF!</definedName>
    <definedName name="_xlnm.Print_Area" localSheetId="1">Summary!$C$1:$I$40</definedName>
    <definedName name="_xlnm.Print_Area" localSheetId="3">Transactions!$A$1:$R$211</definedName>
    <definedName name="_xlnm.Print_Titles" localSheetId="2">Pivot!$3:$4</definedName>
    <definedName name="_xlnm.Print_Titles" localSheetId="3">Transactions!$B:$E,Transactions!$1:$19</definedName>
    <definedName name="ss1et">#REF!</definedName>
    <definedName name="ss1gb">#REF!</definedName>
    <definedName name="ss1lh">#REF!</definedName>
    <definedName name="ss1nt">#REF!</definedName>
    <definedName name="ss1op">#REF!</definedName>
    <definedName name="ss1tx">#REF!</definedName>
    <definedName name="ss1wf">#REF!</definedName>
    <definedName name="ss2et">#REF!</definedName>
    <definedName name="ss2etc">#REF!</definedName>
    <definedName name="ss2gb">#REF!</definedName>
    <definedName name="ss2gbt">#REF!</definedName>
    <definedName name="ss2lh">#REF!</definedName>
    <definedName name="ss2lhs">#REF!</definedName>
    <definedName name="ss2nt">#REF!</definedName>
    <definedName name="ss2ntc">#REF!</definedName>
    <definedName name="ss2op">#REF!</definedName>
    <definedName name="ss2opm">#REF!</definedName>
    <definedName name="ss2tx">#REF!</definedName>
    <definedName name="ss2txl">#REF!</definedName>
    <definedName name="ss2wf">#REF!</definedName>
    <definedName name="ss3et">#REF!</definedName>
    <definedName name="ss3gb">#REF!</definedName>
    <definedName name="ss3lh">#REF!</definedName>
    <definedName name="ss3nt">#REF!</definedName>
    <definedName name="ss3op">#REF!</definedName>
    <definedName name="ss3tx">#REF!</definedName>
    <definedName name="ss3wf">#REF!</definedName>
    <definedName name="ss5et">#REF!</definedName>
    <definedName name="ss5gb">#REF!</definedName>
    <definedName name="ss5lh">#REF!</definedName>
    <definedName name="ss5nt">#REF!</definedName>
    <definedName name="ss5op">#REF!</definedName>
    <definedName name="ss5tx">#REF!</definedName>
    <definedName name="ss5wf">#REF!</definedName>
    <definedName name="ss6et">#REF!</definedName>
    <definedName name="ss6gb">#REF!</definedName>
    <definedName name="ss6lh">#REF!</definedName>
    <definedName name="ss6nt">#REF!</definedName>
    <definedName name="ss6op">#REF!</definedName>
    <definedName name="ss6tx">#REF!</definedName>
    <definedName name="ss6wf">#REF!</definedName>
    <definedName name="tbl_QtrPrimRat">#REF!</definedName>
    <definedName name="texla">#REF!</definedName>
  </definedNames>
  <calcPr calcId="191029"/>
  <pivotCaches>
    <pivotCache cacheId="114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29" l="1"/>
  <c r="L3" i="18" l="1"/>
  <c r="H211" i="18"/>
  <c r="H21" i="18" l="1"/>
  <c r="H29" i="18"/>
  <c r="H53" i="18"/>
  <c r="H61" i="18"/>
  <c r="H37" i="18"/>
  <c r="H69" i="18"/>
  <c r="H45" i="18"/>
  <c r="H77" i="18"/>
  <c r="H93" i="18"/>
  <c r="H109" i="18"/>
  <c r="H141" i="18"/>
  <c r="H72" i="18"/>
  <c r="H112" i="18"/>
  <c r="H136" i="18"/>
  <c r="H144" i="18"/>
  <c r="H152" i="18"/>
  <c r="H160" i="18"/>
  <c r="H168" i="18"/>
  <c r="H176" i="18"/>
  <c r="H184" i="18"/>
  <c r="H200" i="18"/>
  <c r="H32" i="18"/>
  <c r="H48" i="18"/>
  <c r="H64" i="18"/>
  <c r="H80" i="18"/>
  <c r="H96" i="18"/>
  <c r="H128" i="18"/>
  <c r="H25" i="18"/>
  <c r="H33" i="18"/>
  <c r="H41" i="18"/>
  <c r="H49" i="18"/>
  <c r="H57" i="18"/>
  <c r="H65" i="18"/>
  <c r="H73" i="18"/>
  <c r="H81" i="18"/>
  <c r="H89" i="18"/>
  <c r="H97" i="18"/>
  <c r="H105" i="18"/>
  <c r="H113" i="18"/>
  <c r="H121" i="18"/>
  <c r="H129" i="18"/>
  <c r="H137" i="18"/>
  <c r="H145" i="18"/>
  <c r="H153" i="18"/>
  <c r="H161" i="18"/>
  <c r="H169" i="18"/>
  <c r="H177" i="18"/>
  <c r="H188" i="18"/>
  <c r="H204" i="18"/>
  <c r="H85" i="18"/>
  <c r="H101" i="18"/>
  <c r="H117" i="18"/>
  <c r="H125" i="18"/>
  <c r="H133" i="18"/>
  <c r="H149" i="18"/>
  <c r="H157" i="18"/>
  <c r="H165" i="18"/>
  <c r="H173" i="18"/>
  <c r="H181" i="18"/>
  <c r="H196" i="18"/>
  <c r="H24" i="18"/>
  <c r="H40" i="18"/>
  <c r="H56" i="18"/>
  <c r="H88" i="18"/>
  <c r="H104" i="18"/>
  <c r="H120" i="18"/>
  <c r="H20" i="18"/>
  <c r="H28" i="18"/>
  <c r="H36" i="18"/>
  <c r="H44" i="18"/>
  <c r="H52" i="18"/>
  <c r="H60" i="18"/>
  <c r="H68" i="18"/>
  <c r="H76" i="18"/>
  <c r="H84" i="18"/>
  <c r="H92" i="18"/>
  <c r="H100" i="18"/>
  <c r="H108" i="18"/>
  <c r="H116" i="18"/>
  <c r="H124" i="18"/>
  <c r="H132" i="18"/>
  <c r="H140" i="18"/>
  <c r="H148" i="18"/>
  <c r="H156" i="18"/>
  <c r="H164" i="18"/>
  <c r="H172" i="18"/>
  <c r="H180" i="18"/>
  <c r="H192" i="18"/>
  <c r="H208" i="18"/>
  <c r="H22" i="18"/>
  <c r="H26" i="18"/>
  <c r="H30" i="18"/>
  <c r="H34" i="18"/>
  <c r="H38" i="18"/>
  <c r="H42" i="18"/>
  <c r="H46" i="18"/>
  <c r="H50" i="18"/>
  <c r="H54" i="18"/>
  <c r="H58" i="18"/>
  <c r="H62" i="18"/>
  <c r="H66" i="18"/>
  <c r="H70" i="18"/>
  <c r="H74" i="18"/>
  <c r="H78" i="18"/>
  <c r="H82" i="18"/>
  <c r="H86" i="18"/>
  <c r="H90" i="18"/>
  <c r="H94" i="18"/>
  <c r="H98" i="18"/>
  <c r="H102" i="18"/>
  <c r="H106" i="18"/>
  <c r="H110" i="18"/>
  <c r="H114" i="18"/>
  <c r="H118" i="18"/>
  <c r="H122" i="18"/>
  <c r="H126" i="18"/>
  <c r="H130" i="18"/>
  <c r="H134" i="18"/>
  <c r="H138" i="18"/>
  <c r="H142" i="18"/>
  <c r="H146" i="18"/>
  <c r="H150" i="18"/>
  <c r="H154" i="18"/>
  <c r="H158" i="18"/>
  <c r="H162" i="18"/>
  <c r="H166" i="18"/>
  <c r="H170" i="18"/>
  <c r="H174" i="18"/>
  <c r="H178" i="18"/>
  <c r="H182" i="18"/>
  <c r="H186" i="18"/>
  <c r="H190" i="18"/>
  <c r="H194" i="18"/>
  <c r="H198" i="18"/>
  <c r="H202" i="18"/>
  <c r="H206" i="18"/>
  <c r="H210" i="18"/>
  <c r="H185" i="18"/>
  <c r="H189" i="18"/>
  <c r="H193" i="18"/>
  <c r="H197" i="18"/>
  <c r="H201" i="18"/>
  <c r="H205" i="18"/>
  <c r="H209" i="18"/>
  <c r="H23" i="18"/>
  <c r="H27" i="18"/>
  <c r="H31" i="18"/>
  <c r="H35" i="18"/>
  <c r="H39" i="18"/>
  <c r="H43" i="18"/>
  <c r="H47" i="18"/>
  <c r="H51" i="18"/>
  <c r="H55" i="18"/>
  <c r="H59" i="18"/>
  <c r="H63" i="18"/>
  <c r="H67" i="18"/>
  <c r="H71" i="18"/>
  <c r="H75" i="18"/>
  <c r="H79" i="18"/>
  <c r="H83" i="18"/>
  <c r="H87" i="18"/>
  <c r="H91" i="18"/>
  <c r="H95" i="18"/>
  <c r="H99" i="18"/>
  <c r="H103" i="18"/>
  <c r="H107" i="18"/>
  <c r="H111" i="18"/>
  <c r="H115" i="18"/>
  <c r="H119" i="18"/>
  <c r="H123" i="18"/>
  <c r="H127" i="18"/>
  <c r="H131" i="18"/>
  <c r="H135" i="18"/>
  <c r="H139" i="18"/>
  <c r="H143" i="18"/>
  <c r="H147" i="18"/>
  <c r="H151" i="18"/>
  <c r="H155" i="18"/>
  <c r="H159" i="18"/>
  <c r="H163" i="18"/>
  <c r="H167" i="18"/>
  <c r="H171" i="18"/>
  <c r="H175" i="18"/>
  <c r="H179" i="18"/>
  <c r="H183" i="18"/>
  <c r="H187" i="18"/>
  <c r="H191" i="18"/>
  <c r="H195" i="18"/>
  <c r="H199" i="18"/>
  <c r="H203" i="18"/>
  <c r="H207" i="18"/>
  <c r="J38" i="29" l="1"/>
  <c r="E11" i="29"/>
  <c r="K1" i="18"/>
  <c r="B79" i="18"/>
  <c r="B78" i="18"/>
  <c r="B77" i="18"/>
  <c r="B76" i="18"/>
  <c r="B75" i="18"/>
  <c r="B74" i="18"/>
  <c r="B73" i="18"/>
  <c r="B72" i="18"/>
  <c r="B71" i="18"/>
  <c r="B70" i="18"/>
  <c r="B69" i="18"/>
  <c r="B68" i="18"/>
  <c r="F8" i="29"/>
  <c r="E10" i="29" s="1"/>
  <c r="C1" i="29"/>
  <c r="B3" i="18"/>
  <c r="B55" i="18"/>
  <c r="B54" i="18"/>
  <c r="B53" i="18"/>
  <c r="B52" i="18"/>
  <c r="B51" i="18"/>
  <c r="B50" i="18"/>
  <c r="B49" i="18"/>
  <c r="B48" i="18"/>
  <c r="B47" i="18"/>
  <c r="B46" i="18"/>
  <c r="B45" i="18"/>
  <c r="B44" i="18"/>
  <c r="C42" i="18"/>
  <c r="D38" i="18"/>
  <c r="D62" i="18" s="1"/>
  <c r="J19" i="18"/>
  <c r="D43" i="18"/>
  <c r="D67" i="18" s="1"/>
  <c r="D91" i="18" s="1"/>
  <c r="D103" i="18" s="1"/>
  <c r="D115" i="18" s="1"/>
  <c r="D127" i="18" s="1"/>
  <c r="D139" i="18" s="1"/>
  <c r="D151" i="18" s="1"/>
  <c r="D163" i="18" s="1"/>
  <c r="D175" i="18" s="1"/>
  <c r="B31" i="18"/>
  <c r="D42" i="18"/>
  <c r="D54" i="18" s="1"/>
  <c r="B30" i="18"/>
  <c r="D41" i="18"/>
  <c r="D65" i="18" s="1"/>
  <c r="B29" i="18"/>
  <c r="B28" i="18"/>
  <c r="C39" i="18"/>
  <c r="C51" i="18" s="1"/>
  <c r="D39" i="18"/>
  <c r="D51" i="18" s="1"/>
  <c r="B27" i="18"/>
  <c r="B26" i="18"/>
  <c r="B25" i="18"/>
  <c r="B24" i="18"/>
  <c r="B23" i="18"/>
  <c r="B22" i="18"/>
  <c r="B21" i="18"/>
  <c r="D32" i="18"/>
  <c r="D44" i="18" s="1"/>
  <c r="B16" i="18"/>
  <c r="J1" i="18"/>
  <c r="C43" i="18"/>
  <c r="C55" i="18" s="1"/>
  <c r="B175" i="18"/>
  <c r="B174" i="18"/>
  <c r="B173" i="18"/>
  <c r="B172" i="18"/>
  <c r="B171" i="18"/>
  <c r="C38" i="18"/>
  <c r="C50" i="18" s="1"/>
  <c r="B170" i="18"/>
  <c r="C37" i="18"/>
  <c r="C49" i="18" s="1"/>
  <c r="B169" i="18"/>
  <c r="B168" i="18"/>
  <c r="B167" i="18"/>
  <c r="B166" i="18"/>
  <c r="C33" i="18"/>
  <c r="C45" i="18" s="1"/>
  <c r="B165" i="18"/>
  <c r="C32" i="18"/>
  <c r="C56" i="18" s="1"/>
  <c r="B164" i="18"/>
  <c r="B211" i="18"/>
  <c r="B210" i="18"/>
  <c r="B209" i="18"/>
  <c r="B208" i="18"/>
  <c r="B207" i="18"/>
  <c r="B206" i="18"/>
  <c r="B205" i="18"/>
  <c r="B204" i="18"/>
  <c r="B203" i="18"/>
  <c r="B202" i="18"/>
  <c r="B201" i="18"/>
  <c r="B200" i="18"/>
  <c r="B199" i="18"/>
  <c r="B198" i="18"/>
  <c r="B197" i="18"/>
  <c r="B196" i="18"/>
  <c r="B195" i="18"/>
  <c r="B194" i="18"/>
  <c r="B193" i="18"/>
  <c r="B192" i="18"/>
  <c r="B191" i="18"/>
  <c r="B190" i="18"/>
  <c r="B189" i="18"/>
  <c r="B188" i="18"/>
  <c r="B187" i="18"/>
  <c r="B186" i="18"/>
  <c r="B185" i="18"/>
  <c r="B184" i="18"/>
  <c r="B183" i="18"/>
  <c r="B182" i="18"/>
  <c r="B181" i="18"/>
  <c r="B180" i="18"/>
  <c r="B179" i="18"/>
  <c r="B178" i="18"/>
  <c r="B177" i="18"/>
  <c r="B176" i="18"/>
  <c r="B163" i="18"/>
  <c r="B162" i="18"/>
  <c r="B161" i="18"/>
  <c r="B160" i="18"/>
  <c r="B159" i="18"/>
  <c r="B158" i="18"/>
  <c r="B157" i="18"/>
  <c r="B156" i="18"/>
  <c r="B155" i="18"/>
  <c r="B154" i="18"/>
  <c r="B153" i="18"/>
  <c r="B152" i="18"/>
  <c r="B151" i="18"/>
  <c r="B150" i="18"/>
  <c r="B149" i="18"/>
  <c r="B148" i="18"/>
  <c r="B147" i="18"/>
  <c r="B146" i="18"/>
  <c r="B145" i="18"/>
  <c r="B144" i="18"/>
  <c r="B143" i="18"/>
  <c r="B142" i="18"/>
  <c r="B141" i="18"/>
  <c r="B140" i="18"/>
  <c r="B139" i="18"/>
  <c r="B138" i="18"/>
  <c r="B137" i="18"/>
  <c r="B136" i="18"/>
  <c r="B135" i="18"/>
  <c r="B134" i="18"/>
  <c r="B133" i="18"/>
  <c r="B132" i="18"/>
  <c r="B131" i="18"/>
  <c r="B130" i="18"/>
  <c r="B129" i="18"/>
  <c r="B128" i="18"/>
  <c r="B127" i="18"/>
  <c r="B126" i="18"/>
  <c r="B125" i="18"/>
  <c r="B124" i="18"/>
  <c r="B123" i="18"/>
  <c r="B122" i="18"/>
  <c r="B121" i="18"/>
  <c r="B120" i="18"/>
  <c r="B119" i="18"/>
  <c r="B118" i="18"/>
  <c r="B117" i="18"/>
  <c r="B116" i="18"/>
  <c r="B115" i="18"/>
  <c r="B114" i="18"/>
  <c r="B113" i="18"/>
  <c r="B112" i="18"/>
  <c r="B111" i="18"/>
  <c r="B110" i="18"/>
  <c r="B109" i="18"/>
  <c r="B108" i="18"/>
  <c r="B107" i="18"/>
  <c r="B106" i="18"/>
  <c r="B105" i="18"/>
  <c r="B104" i="18"/>
  <c r="B103" i="18"/>
  <c r="B102" i="18"/>
  <c r="B101" i="18"/>
  <c r="B100" i="18"/>
  <c r="B99" i="18"/>
  <c r="B98" i="18"/>
  <c r="B97" i="18"/>
  <c r="B96" i="18"/>
  <c r="B95" i="18"/>
  <c r="B94" i="18"/>
  <c r="B93" i="18"/>
  <c r="B92" i="18"/>
  <c r="B91" i="18"/>
  <c r="B90" i="18"/>
  <c r="B89" i="18"/>
  <c r="B88" i="18"/>
  <c r="B87" i="18"/>
  <c r="B86" i="18"/>
  <c r="B85" i="18"/>
  <c r="B84" i="18"/>
  <c r="B83" i="18"/>
  <c r="B82" i="18"/>
  <c r="B81" i="18"/>
  <c r="B80" i="18"/>
  <c r="B67" i="18"/>
  <c r="B66" i="18"/>
  <c r="B65" i="18"/>
  <c r="B64" i="18"/>
  <c r="B63" i="18"/>
  <c r="B62" i="18"/>
  <c r="B61" i="18"/>
  <c r="B60" i="18"/>
  <c r="B59" i="18"/>
  <c r="B58" i="18"/>
  <c r="B57" i="18"/>
  <c r="B56" i="18"/>
  <c r="B43" i="18"/>
  <c r="B42" i="18"/>
  <c r="B41" i="18"/>
  <c r="B40" i="18"/>
  <c r="B39" i="18"/>
  <c r="B38" i="18"/>
  <c r="B37" i="18"/>
  <c r="B36" i="18"/>
  <c r="B35" i="18"/>
  <c r="B34" i="18"/>
  <c r="B33" i="18"/>
  <c r="B32" i="18"/>
  <c r="B20" i="18"/>
  <c r="C35" i="18"/>
  <c r="C34" i="18"/>
  <c r="C46" i="18" s="1"/>
  <c r="C41" i="18"/>
  <c r="C65" i="18" s="1"/>
  <c r="D36" i="18"/>
  <c r="D48" i="18" s="1"/>
  <c r="C36" i="18"/>
  <c r="C60" i="18" s="1"/>
  <c r="C84" i="18" s="1"/>
  <c r="C96" i="18" s="1"/>
  <c r="C108" i="18" s="1"/>
  <c r="C120" i="18" s="1"/>
  <c r="C132" i="18" s="1"/>
  <c r="C144" i="18" s="1"/>
  <c r="C156" i="18" s="1"/>
  <c r="C40" i="18"/>
  <c r="C52" i="18" s="1"/>
  <c r="D63" i="18"/>
  <c r="D87" i="18" s="1"/>
  <c r="D99" i="18" s="1"/>
  <c r="D111" i="18" s="1"/>
  <c r="D123" i="18" s="1"/>
  <c r="D135" i="18" s="1"/>
  <c r="D147" i="18" s="1"/>
  <c r="D159" i="18" s="1"/>
  <c r="D35" i="18"/>
  <c r="D59" i="18" s="1"/>
  <c r="D83" i="18" s="1"/>
  <c r="D95" i="18" s="1"/>
  <c r="D107" i="18" s="1"/>
  <c r="D119" i="18" s="1"/>
  <c r="D131" i="18" s="1"/>
  <c r="D143" i="18" s="1"/>
  <c r="D155" i="18" s="1"/>
  <c r="D37" i="18"/>
  <c r="D61" i="18" s="1"/>
  <c r="D40" i="18"/>
  <c r="C72" i="18"/>
  <c r="D33" i="18"/>
  <c r="D45" i="18" s="1"/>
  <c r="D34" i="18"/>
  <c r="D58" i="18" s="1"/>
  <c r="C54" i="18"/>
  <c r="C66" i="18"/>
  <c r="C78" i="18" s="1"/>
  <c r="C64" i="18"/>
  <c r="C76" i="18" s="1"/>
  <c r="C63" i="18"/>
  <c r="C87" i="18" s="1"/>
  <c r="C99" i="18" s="1"/>
  <c r="C111" i="18" s="1"/>
  <c r="C123" i="18" s="1"/>
  <c r="C135" i="18" s="1"/>
  <c r="C147" i="18" s="1"/>
  <c r="C159" i="18" s="1"/>
  <c r="C44" i="18"/>
  <c r="D66" i="18"/>
  <c r="D78" i="18" s="1"/>
  <c r="F10" i="29"/>
  <c r="K149" i="18"/>
  <c r="K103" i="18"/>
  <c r="K161" i="18"/>
  <c r="K175" i="18"/>
  <c r="K150" i="18"/>
  <c r="K174" i="18"/>
  <c r="K151" i="18"/>
  <c r="K75" i="18"/>
  <c r="K173" i="18"/>
  <c r="K40" i="18"/>
  <c r="K39" i="18"/>
  <c r="K64" i="18"/>
  <c r="K195" i="18"/>
  <c r="K162" i="18"/>
  <c r="K77" i="18"/>
  <c r="K79" i="18"/>
  <c r="K55" i="18"/>
  <c r="K199" i="18"/>
  <c r="K78" i="18"/>
  <c r="G32" i="29"/>
  <c r="G22" i="29"/>
  <c r="H35" i="29"/>
  <c r="G31" i="29"/>
  <c r="G35" i="29"/>
  <c r="E25" i="29"/>
  <c r="E33" i="29"/>
  <c r="H21" i="29"/>
  <c r="D25" i="29"/>
  <c r="E21" i="29"/>
  <c r="H22" i="29"/>
  <c r="D27" i="29"/>
  <c r="H25" i="29"/>
  <c r="D30" i="29"/>
  <c r="H23" i="29"/>
  <c r="H29" i="29"/>
  <c r="H28" i="29"/>
  <c r="E22" i="29"/>
  <c r="D32" i="29"/>
  <c r="G25" i="29"/>
  <c r="H26" i="29"/>
  <c r="E31" i="29"/>
  <c r="G23" i="29"/>
  <c r="D37" i="29"/>
  <c r="E28" i="29"/>
  <c r="H31" i="29"/>
  <c r="D22" i="29"/>
  <c r="D24" i="29"/>
  <c r="G24" i="29"/>
  <c r="G27" i="29"/>
  <c r="D21" i="29"/>
  <c r="D35" i="29"/>
  <c r="G29" i="29"/>
  <c r="E29" i="29"/>
  <c r="H37" i="29"/>
  <c r="E23" i="29"/>
  <c r="E32" i="29"/>
  <c r="E24" i="29"/>
  <c r="G36" i="29"/>
  <c r="D29" i="29"/>
  <c r="D23" i="29"/>
  <c r="E36" i="29"/>
  <c r="E30" i="29"/>
  <c r="G28" i="29"/>
  <c r="D28" i="29"/>
  <c r="G30" i="29"/>
  <c r="G37" i="29"/>
  <c r="D31" i="29"/>
  <c r="H30" i="29"/>
  <c r="E27" i="29"/>
  <c r="G21" i="29"/>
  <c r="H33" i="29"/>
  <c r="H32" i="29"/>
  <c r="G33" i="29"/>
  <c r="D36" i="29"/>
  <c r="G26" i="29"/>
  <c r="D33" i="29"/>
  <c r="H36" i="29"/>
  <c r="D26" i="29"/>
  <c r="E35" i="29"/>
  <c r="H24" i="29"/>
  <c r="H27" i="29"/>
  <c r="E37" i="29"/>
  <c r="E26" i="29"/>
  <c r="D57" i="18" l="1"/>
  <c r="E20" i="29"/>
  <c r="D20" i="29"/>
  <c r="C3" i="29"/>
  <c r="D79" i="18"/>
  <c r="D55" i="18"/>
  <c r="C90" i="18"/>
  <c r="C102" i="18" s="1"/>
  <c r="C114" i="18" s="1"/>
  <c r="C126" i="18" s="1"/>
  <c r="C138" i="18" s="1"/>
  <c r="C150" i="18" s="1"/>
  <c r="C162" i="18" s="1"/>
  <c r="C186" i="18" s="1"/>
  <c r="C198" i="18" s="1"/>
  <c r="C210" i="18" s="1"/>
  <c r="D53" i="18"/>
  <c r="C53" i="18"/>
  <c r="C88" i="18"/>
  <c r="C100" i="18" s="1"/>
  <c r="C112" i="18" s="1"/>
  <c r="C124" i="18" s="1"/>
  <c r="C136" i="18" s="1"/>
  <c r="C148" i="18" s="1"/>
  <c r="C160" i="18" s="1"/>
  <c r="C75" i="18"/>
  <c r="D50" i="18"/>
  <c r="C61" i="18"/>
  <c r="D46" i="18"/>
  <c r="C57" i="18"/>
  <c r="C81" i="18" s="1"/>
  <c r="C93" i="18" s="1"/>
  <c r="C105" i="18" s="1"/>
  <c r="C117" i="18" s="1"/>
  <c r="C129" i="18" s="1"/>
  <c r="C141" i="18" s="1"/>
  <c r="C153" i="18" s="1"/>
  <c r="C165" i="18" s="1"/>
  <c r="C80" i="18"/>
  <c r="C92" i="18" s="1"/>
  <c r="C104" i="18" s="1"/>
  <c r="C116" i="18" s="1"/>
  <c r="C128" i="18" s="1"/>
  <c r="C140" i="18" s="1"/>
  <c r="C152" i="18" s="1"/>
  <c r="C164" i="18" s="1"/>
  <c r="C68" i="18"/>
  <c r="O13" i="18"/>
  <c r="K53" i="18"/>
  <c r="K184" i="18"/>
  <c r="K67" i="18"/>
  <c r="K66" i="18"/>
  <c r="K54" i="18"/>
  <c r="K76" i="18"/>
  <c r="K148" i="18"/>
  <c r="K30" i="18"/>
  <c r="K43" i="18"/>
  <c r="K159" i="18"/>
  <c r="K135" i="18"/>
  <c r="K198" i="18"/>
  <c r="K91" i="18"/>
  <c r="K41" i="18"/>
  <c r="K160" i="18"/>
  <c r="K87" i="18"/>
  <c r="K136" i="18"/>
  <c r="K209" i="18"/>
  <c r="K138" i="18"/>
  <c r="K211" i="18"/>
  <c r="K185" i="18"/>
  <c r="K124" i="18"/>
  <c r="K63" i="18"/>
  <c r="K137" i="18"/>
  <c r="K31" i="18"/>
  <c r="K171" i="18"/>
  <c r="K65" i="18"/>
  <c r="K147" i="18"/>
  <c r="K208" i="18"/>
  <c r="K29" i="18"/>
  <c r="K114" i="18"/>
  <c r="K89" i="18"/>
  <c r="K42" i="18"/>
  <c r="K102" i="18"/>
  <c r="K113" i="18"/>
  <c r="K123" i="18"/>
  <c r="K101" i="18"/>
  <c r="K207" i="18"/>
  <c r="K196" i="18"/>
  <c r="K51" i="18"/>
  <c r="K186" i="18"/>
  <c r="K111" i="18"/>
  <c r="K27" i="18"/>
  <c r="K183" i="18"/>
  <c r="K100" i="18"/>
  <c r="K210" i="18"/>
  <c r="K99" i="18"/>
  <c r="K52" i="18"/>
  <c r="K197" i="18"/>
  <c r="K126" i="18"/>
  <c r="K139" i="18"/>
  <c r="E13" i="29"/>
  <c r="K187" i="18"/>
  <c r="K28" i="18"/>
  <c r="K115" i="18"/>
  <c r="K127" i="18"/>
  <c r="K88" i="18"/>
  <c r="J34" i="29"/>
  <c r="J39" i="29" s="1"/>
  <c r="G212" i="18"/>
  <c r="K125" i="18"/>
  <c r="K90" i="18"/>
  <c r="C67" i="18"/>
  <c r="C79" i="18" s="1"/>
  <c r="D90" i="18"/>
  <c r="D102" i="18" s="1"/>
  <c r="D114" i="18" s="1"/>
  <c r="D126" i="18" s="1"/>
  <c r="D138" i="18" s="1"/>
  <c r="D150" i="18" s="1"/>
  <c r="D162" i="18" s="1"/>
  <c r="D174" i="18" s="1"/>
  <c r="D77" i="18"/>
  <c r="D89" i="18"/>
  <c r="D101" i="18" s="1"/>
  <c r="D113" i="18" s="1"/>
  <c r="D125" i="18" s="1"/>
  <c r="D137" i="18" s="1"/>
  <c r="D149" i="18" s="1"/>
  <c r="D161" i="18" s="1"/>
  <c r="D74" i="18"/>
  <c r="D86" i="18"/>
  <c r="D98" i="18" s="1"/>
  <c r="D110" i="18" s="1"/>
  <c r="D122" i="18" s="1"/>
  <c r="D134" i="18" s="1"/>
  <c r="D146" i="18" s="1"/>
  <c r="D158" i="18" s="1"/>
  <c r="D170" i="18" s="1"/>
  <c r="C62" i="18"/>
  <c r="D49" i="18"/>
  <c r="D60" i="18"/>
  <c r="D72" i="18" s="1"/>
  <c r="C48" i="18"/>
  <c r="D71" i="18"/>
  <c r="C58" i="18"/>
  <c r="D56" i="18"/>
  <c r="D68" i="18" s="1"/>
  <c r="F29" i="29"/>
  <c r="I29" i="29" s="1"/>
  <c r="K29" i="29" s="1"/>
  <c r="F32" i="29"/>
  <c r="I32" i="29" s="1"/>
  <c r="K32" i="29" s="1"/>
  <c r="F24" i="29"/>
  <c r="I24" i="29" s="1"/>
  <c r="K24" i="29" s="1"/>
  <c r="F30" i="29"/>
  <c r="I30" i="29" s="1"/>
  <c r="K30" i="29" s="1"/>
  <c r="H34" i="29"/>
  <c r="F37" i="29"/>
  <c r="I37" i="29" s="1"/>
  <c r="K37" i="29" s="1"/>
  <c r="G34" i="29"/>
  <c r="F27" i="29"/>
  <c r="I27" i="29" s="1"/>
  <c r="K27" i="29" s="1"/>
  <c r="F33" i="29"/>
  <c r="I33" i="29" s="1"/>
  <c r="K33" i="29" s="1"/>
  <c r="E34" i="29"/>
  <c r="F22" i="29"/>
  <c r="I22" i="29" s="1"/>
  <c r="K22" i="29" s="1"/>
  <c r="H38" i="29"/>
  <c r="F21" i="29"/>
  <c r="D34" i="29"/>
  <c r="F35" i="29"/>
  <c r="D38" i="29"/>
  <c r="F25" i="29"/>
  <c r="I25" i="29" s="1"/>
  <c r="K25" i="29" s="1"/>
  <c r="F28" i="29"/>
  <c r="I28" i="29" s="1"/>
  <c r="K28" i="29" s="1"/>
  <c r="E38" i="29"/>
  <c r="F31" i="29"/>
  <c r="I31" i="29" s="1"/>
  <c r="K31" i="29" s="1"/>
  <c r="G38" i="29"/>
  <c r="F36" i="29"/>
  <c r="I36" i="29" s="1"/>
  <c r="K36" i="29" s="1"/>
  <c r="F26" i="29"/>
  <c r="I26" i="29" s="1"/>
  <c r="K26" i="29" s="1"/>
  <c r="F23" i="29"/>
  <c r="I23" i="29" s="1"/>
  <c r="K23" i="29" s="1"/>
  <c r="C177" i="18"/>
  <c r="C189" i="18" s="1"/>
  <c r="C201" i="18" s="1"/>
  <c r="D183" i="18"/>
  <c r="D195" i="18" s="1"/>
  <c r="D207" i="18" s="1"/>
  <c r="D171" i="18"/>
  <c r="C174" i="18"/>
  <c r="C180" i="18"/>
  <c r="C192" i="18" s="1"/>
  <c r="C204" i="18" s="1"/>
  <c r="C168" i="18"/>
  <c r="C172" i="18"/>
  <c r="C184" i="18"/>
  <c r="C196" i="18" s="1"/>
  <c r="C208" i="18" s="1"/>
  <c r="D185" i="18"/>
  <c r="D197" i="18" s="1"/>
  <c r="D209" i="18" s="1"/>
  <c r="D173" i="18"/>
  <c r="O14" i="18"/>
  <c r="C171" i="18"/>
  <c r="C183" i="18"/>
  <c r="C195" i="18" s="1"/>
  <c r="C207" i="18" s="1"/>
  <c r="D167" i="18"/>
  <c r="D179" i="18"/>
  <c r="D191" i="18" s="1"/>
  <c r="D203" i="18" s="1"/>
  <c r="D70" i="18"/>
  <c r="D82" i="18"/>
  <c r="D94" i="18" s="1"/>
  <c r="D106" i="18" s="1"/>
  <c r="D118" i="18" s="1"/>
  <c r="D130" i="18" s="1"/>
  <c r="D142" i="18" s="1"/>
  <c r="D154" i="18" s="1"/>
  <c r="C47" i="18"/>
  <c r="C59" i="18"/>
  <c r="D187" i="18"/>
  <c r="D199" i="18" s="1"/>
  <c r="D211" i="18" s="1"/>
  <c r="D85" i="18"/>
  <c r="D97" i="18" s="1"/>
  <c r="D109" i="18" s="1"/>
  <c r="D121" i="18" s="1"/>
  <c r="D133" i="18" s="1"/>
  <c r="D145" i="18" s="1"/>
  <c r="D157" i="18" s="1"/>
  <c r="D73" i="18"/>
  <c r="D47" i="18"/>
  <c r="C89" i="18"/>
  <c r="C101" i="18" s="1"/>
  <c r="C113" i="18" s="1"/>
  <c r="C125" i="18" s="1"/>
  <c r="C137" i="18" s="1"/>
  <c r="C149" i="18" s="1"/>
  <c r="C161" i="18" s="1"/>
  <c r="C77" i="18"/>
  <c r="D69" i="18"/>
  <c r="D81" i="18"/>
  <c r="D93" i="18" s="1"/>
  <c r="D105" i="18" s="1"/>
  <c r="D117" i="18" s="1"/>
  <c r="D129" i="18" s="1"/>
  <c r="D141" i="18" s="1"/>
  <c r="D153" i="18" s="1"/>
  <c r="D75" i="18"/>
  <c r="K163" i="18"/>
  <c r="K172" i="18"/>
  <c r="K112" i="18"/>
  <c r="D64" i="18"/>
  <c r="D52" i="18"/>
  <c r="D80" i="18" l="1"/>
  <c r="D92" i="18" s="1"/>
  <c r="D104" i="18" s="1"/>
  <c r="D116" i="18" s="1"/>
  <c r="D128" i="18" s="1"/>
  <c r="D140" i="18" s="1"/>
  <c r="D152" i="18" s="1"/>
  <c r="C69" i="18"/>
  <c r="C91" i="18"/>
  <c r="C103" i="18" s="1"/>
  <c r="C115" i="18" s="1"/>
  <c r="C127" i="18" s="1"/>
  <c r="C139" i="18" s="1"/>
  <c r="C151" i="18" s="1"/>
  <c r="C163" i="18" s="1"/>
  <c r="C176" i="18"/>
  <c r="C188" i="18" s="1"/>
  <c r="C200" i="18" s="1"/>
  <c r="D186" i="18"/>
  <c r="D198" i="18" s="1"/>
  <c r="D210" i="18" s="1"/>
  <c r="D182" i="18"/>
  <c r="D194" i="18" s="1"/>
  <c r="D206" i="18" s="1"/>
  <c r="C73" i="18"/>
  <c r="C85" i="18"/>
  <c r="C97" i="18" s="1"/>
  <c r="C109" i="18" s="1"/>
  <c r="C121" i="18" s="1"/>
  <c r="C133" i="18" s="1"/>
  <c r="C145" i="18" s="1"/>
  <c r="C157" i="18" s="1"/>
  <c r="D84" i="18"/>
  <c r="D96" i="18" s="1"/>
  <c r="D108" i="18" s="1"/>
  <c r="D120" i="18" s="1"/>
  <c r="D132" i="18" s="1"/>
  <c r="D144" i="18" s="1"/>
  <c r="D156" i="18" s="1"/>
  <c r="D180" i="18" s="1"/>
  <c r="D192" i="18" s="1"/>
  <c r="D204" i="18" s="1"/>
  <c r="G39" i="29"/>
  <c r="C86" i="18"/>
  <c r="C98" i="18" s="1"/>
  <c r="C110" i="18" s="1"/>
  <c r="C122" i="18" s="1"/>
  <c r="C134" i="18" s="1"/>
  <c r="C146" i="18" s="1"/>
  <c r="C158" i="18" s="1"/>
  <c r="C74" i="18"/>
  <c r="C82" i="18"/>
  <c r="C94" i="18" s="1"/>
  <c r="C106" i="18" s="1"/>
  <c r="C118" i="18" s="1"/>
  <c r="C130" i="18" s="1"/>
  <c r="C142" i="18" s="1"/>
  <c r="C154" i="18" s="1"/>
  <c r="C70" i="18"/>
  <c r="D177" i="18"/>
  <c r="D189" i="18" s="1"/>
  <c r="D201" i="18" s="1"/>
  <c r="D165" i="18"/>
  <c r="D164" i="18"/>
  <c r="D176" i="18"/>
  <c r="D188" i="18" s="1"/>
  <c r="D200" i="18" s="1"/>
  <c r="I35" i="29"/>
  <c r="F38" i="29"/>
  <c r="P13" i="18"/>
  <c r="C173" i="18"/>
  <c r="C185" i="18"/>
  <c r="C197" i="18" s="1"/>
  <c r="C209" i="18" s="1"/>
  <c r="P14" i="18"/>
  <c r="P212" i="18"/>
  <c r="D166" i="18"/>
  <c r="D178" i="18"/>
  <c r="D190" i="18" s="1"/>
  <c r="D202" i="18" s="1"/>
  <c r="D39" i="29"/>
  <c r="E39" i="29"/>
  <c r="D88" i="18"/>
  <c r="D100" i="18" s="1"/>
  <c r="D112" i="18" s="1"/>
  <c r="D124" i="18" s="1"/>
  <c r="D136" i="18" s="1"/>
  <c r="D148" i="18" s="1"/>
  <c r="D160" i="18" s="1"/>
  <c r="D76" i="18"/>
  <c r="C175" i="18"/>
  <c r="C187" i="18"/>
  <c r="C199" i="18" s="1"/>
  <c r="C211" i="18" s="1"/>
  <c r="D181" i="18"/>
  <c r="D193" i="18" s="1"/>
  <c r="D205" i="18" s="1"/>
  <c r="D169" i="18"/>
  <c r="C83" i="18"/>
  <c r="C95" i="18" s="1"/>
  <c r="C107" i="18" s="1"/>
  <c r="C119" i="18" s="1"/>
  <c r="C131" i="18" s="1"/>
  <c r="C143" i="18" s="1"/>
  <c r="C155" i="18" s="1"/>
  <c r="C71" i="18"/>
  <c r="F34" i="29"/>
  <c r="I21" i="29"/>
  <c r="H39" i="29"/>
  <c r="D168" i="18" l="1"/>
  <c r="C181" i="18"/>
  <c r="C193" i="18" s="1"/>
  <c r="C205" i="18" s="1"/>
  <c r="C169" i="18"/>
  <c r="F39" i="29"/>
  <c r="Q13" i="18"/>
  <c r="Q14" i="18"/>
  <c r="C170" i="18"/>
  <c r="C182" i="18"/>
  <c r="C194" i="18" s="1"/>
  <c r="C206" i="18" s="1"/>
  <c r="C178" i="18"/>
  <c r="C190" i="18" s="1"/>
  <c r="C202" i="18" s="1"/>
  <c r="C166" i="18"/>
  <c r="K21" i="29"/>
  <c r="I34" i="29"/>
  <c r="I38" i="29"/>
  <c r="K38" i="29" s="1"/>
  <c r="K35" i="29"/>
  <c r="C167" i="18"/>
  <c r="C179" i="18"/>
  <c r="C191" i="18" s="1"/>
  <c r="C203" i="18" s="1"/>
  <c r="D184" i="18"/>
  <c r="D196" i="18" s="1"/>
  <c r="D208" i="18" s="1"/>
  <c r="D172" i="18"/>
  <c r="K34" i="29" l="1"/>
  <c r="I39" i="29"/>
  <c r="K39" i="29" l="1"/>
  <c r="K203" i="18" l="1"/>
  <c r="K191" i="18"/>
  <c r="K179" i="18"/>
  <c r="K167" i="18"/>
  <c r="K155" i="18"/>
  <c r="K143" i="18"/>
  <c r="K131" i="18"/>
  <c r="K119" i="18"/>
  <c r="K107" i="18"/>
  <c r="K95" i="18"/>
  <c r="K83" i="18"/>
  <c r="K71" i="18"/>
  <c r="K59" i="18"/>
  <c r="K47" i="18"/>
  <c r="K35" i="18"/>
  <c r="K26" i="18"/>
  <c r="K22" i="18"/>
  <c r="K106" i="18"/>
  <c r="K98" i="18"/>
  <c r="K94" i="18"/>
  <c r="K86" i="18"/>
  <c r="K82" i="18"/>
  <c r="K74" i="18"/>
  <c r="K206" i="18"/>
  <c r="K202" i="18"/>
  <c r="K194" i="18"/>
  <c r="K190" i="18"/>
  <c r="K182" i="18"/>
  <c r="K178" i="18"/>
  <c r="K170" i="18"/>
  <c r="K166" i="18"/>
  <c r="K158" i="18"/>
  <c r="K154" i="18"/>
  <c r="K146" i="18"/>
  <c r="K142" i="18"/>
  <c r="K134" i="18"/>
  <c r="K130" i="18"/>
  <c r="K122" i="18"/>
  <c r="K118" i="18"/>
  <c r="K110" i="18"/>
  <c r="K204" i="18"/>
  <c r="K188" i="18"/>
  <c r="K180" i="18"/>
  <c r="K164" i="18"/>
  <c r="K156" i="18"/>
  <c r="K140" i="18"/>
  <c r="K132" i="18"/>
  <c r="K116" i="18"/>
  <c r="K108" i="18"/>
  <c r="K92" i="18"/>
  <c r="K84" i="18"/>
  <c r="K70" i="18"/>
  <c r="K60" i="18"/>
  <c r="K49" i="18"/>
  <c r="K44" i="18"/>
  <c r="K38" i="18"/>
  <c r="K33" i="18"/>
  <c r="K23" i="18"/>
  <c r="K69" i="18"/>
  <c r="K58" i="18"/>
  <c r="K48" i="18"/>
  <c r="K37" i="18"/>
  <c r="K21" i="18"/>
  <c r="K201" i="18"/>
  <c r="K193" i="18"/>
  <c r="K177" i="18"/>
  <c r="K169" i="18"/>
  <c r="K153" i="18"/>
  <c r="K145" i="18"/>
  <c r="K129" i="18"/>
  <c r="K121" i="18"/>
  <c r="K105" i="18"/>
  <c r="K97" i="18"/>
  <c r="K81" i="18"/>
  <c r="K32" i="18"/>
  <c r="K200" i="18"/>
  <c r="K192" i="18"/>
  <c r="K176" i="18"/>
  <c r="K168" i="18"/>
  <c r="K152" i="18"/>
  <c r="K144" i="18"/>
  <c r="K128" i="18"/>
  <c r="K120" i="18"/>
  <c r="K104" i="18"/>
  <c r="K96" i="18"/>
  <c r="K80" i="18"/>
  <c r="K73" i="18"/>
  <c r="K68" i="18"/>
  <c r="K62" i="18"/>
  <c r="K57" i="18"/>
  <c r="K46" i="18"/>
  <c r="K36" i="18"/>
  <c r="K25" i="18"/>
  <c r="K20" i="18"/>
  <c r="K205" i="18"/>
  <c r="K189" i="18"/>
  <c r="K181" i="18"/>
  <c r="K165" i="18"/>
  <c r="K157" i="18"/>
  <c r="K141" i="18"/>
  <c r="K133" i="18"/>
  <c r="K117" i="18"/>
  <c r="K109" i="18"/>
  <c r="K93" i="18"/>
  <c r="K85" i="18"/>
  <c r="K72" i="18"/>
  <c r="K61" i="18"/>
  <c r="K56" i="18"/>
  <c r="K50" i="18"/>
  <c r="K45" i="18"/>
  <c r="K34" i="18"/>
  <c r="K24" i="18"/>
  <c r="K13" i="18" l="1"/>
  <c r="K14" i="18"/>
  <c r="K212" i="18"/>
  <c r="F12" i="29" l="1"/>
  <c r="I135" i="18" l="1"/>
  <c r="J135" i="18" s="1"/>
  <c r="L135" i="18" s="1"/>
  <c r="I21" i="18"/>
  <c r="J21" i="18" s="1"/>
  <c r="L21" i="18" s="1"/>
  <c r="I178" i="18"/>
  <c r="J178" i="18" s="1"/>
  <c r="L178" i="18" s="1"/>
  <c r="I200" i="18"/>
  <c r="J200" i="18" s="1"/>
  <c r="L200" i="18" s="1"/>
  <c r="I97" i="18"/>
  <c r="J97" i="18" s="1"/>
  <c r="L97" i="18" s="1"/>
  <c r="I147" i="18"/>
  <c r="J147" i="18" s="1"/>
  <c r="L147" i="18" s="1"/>
  <c r="I168" i="18"/>
  <c r="J168" i="18" s="1"/>
  <c r="L168" i="18" s="1"/>
  <c r="I71" i="18"/>
  <c r="J71" i="18" s="1"/>
  <c r="L71" i="18" s="1"/>
  <c r="I186" i="18"/>
  <c r="J186" i="18" s="1"/>
  <c r="L186" i="18" s="1"/>
  <c r="I176" i="18"/>
  <c r="J176" i="18" s="1"/>
  <c r="L176" i="18" s="1"/>
  <c r="I202" i="18"/>
  <c r="J202" i="18" s="1"/>
  <c r="L202" i="18" s="1"/>
  <c r="I190" i="18"/>
  <c r="J190" i="18" s="1"/>
  <c r="L190" i="18" s="1"/>
  <c r="I95" i="18"/>
  <c r="J95" i="18" s="1"/>
  <c r="L95" i="18" s="1"/>
  <c r="I99" i="18"/>
  <c r="J99" i="18" s="1"/>
  <c r="L99" i="18" s="1"/>
  <c r="I169" i="18"/>
  <c r="J169" i="18" s="1"/>
  <c r="L169" i="18" s="1"/>
  <c r="I210" i="18"/>
  <c r="J210" i="18" s="1"/>
  <c r="L210" i="18" s="1"/>
  <c r="I80" i="18"/>
  <c r="J80" i="18" s="1"/>
  <c r="L80" i="18" s="1"/>
  <c r="I191" i="18"/>
  <c r="J191" i="18" s="1"/>
  <c r="L191" i="18" s="1"/>
  <c r="I55" i="18"/>
  <c r="J55" i="18" s="1"/>
  <c r="L55" i="18" s="1"/>
  <c r="I180" i="18"/>
  <c r="J180" i="18" s="1"/>
  <c r="L180" i="18" s="1"/>
  <c r="F14" i="29"/>
  <c r="I90" i="18"/>
  <c r="J90" i="18" s="1"/>
  <c r="L90" i="18" s="1"/>
  <c r="I41" i="18"/>
  <c r="J41" i="18" s="1"/>
  <c r="L41" i="18" s="1"/>
  <c r="I137" i="18"/>
  <c r="J137" i="18" s="1"/>
  <c r="L137" i="18" s="1"/>
  <c r="I207" i="18"/>
  <c r="J207" i="18" s="1"/>
  <c r="L207" i="18" s="1"/>
  <c r="I86" i="18"/>
  <c r="J86" i="18" s="1"/>
  <c r="L86" i="18" s="1"/>
  <c r="I92" i="18"/>
  <c r="J92" i="18" s="1"/>
  <c r="L92" i="18" s="1"/>
  <c r="I29" i="18"/>
  <c r="J29" i="18" s="1"/>
  <c r="L29" i="18" s="1"/>
  <c r="I130" i="18"/>
  <c r="J130" i="18" s="1"/>
  <c r="L130" i="18" s="1"/>
  <c r="I104" i="18"/>
  <c r="J104" i="18" s="1"/>
  <c r="L104" i="18" s="1"/>
  <c r="I63" i="18"/>
  <c r="J63" i="18" s="1"/>
  <c r="L63" i="18" s="1"/>
  <c r="I183" i="18"/>
  <c r="J183" i="18" s="1"/>
  <c r="L183" i="18" s="1"/>
  <c r="I160" i="18"/>
  <c r="J160" i="18" s="1"/>
  <c r="L160" i="18" s="1"/>
  <c r="I201" i="18"/>
  <c r="J201" i="18" s="1"/>
  <c r="L201" i="18" s="1"/>
  <c r="I53" i="18"/>
  <c r="J53" i="18" s="1"/>
  <c r="L53" i="18" s="1"/>
  <c r="I208" i="18"/>
  <c r="J208" i="18" s="1"/>
  <c r="L208" i="18" s="1"/>
  <c r="I129" i="18"/>
  <c r="J129" i="18" s="1"/>
  <c r="L129" i="18" s="1"/>
  <c r="I177" i="18"/>
  <c r="J177" i="18" s="1"/>
  <c r="L177" i="18" s="1"/>
  <c r="I26" i="18"/>
  <c r="J26" i="18" s="1"/>
  <c r="L26" i="18" s="1"/>
  <c r="I22" i="18"/>
  <c r="J22" i="18" s="1"/>
  <c r="L22" i="18" s="1"/>
  <c r="I105" i="18"/>
  <c r="J105" i="18" s="1"/>
  <c r="L105" i="18" s="1"/>
  <c r="I37" i="18"/>
  <c r="J37" i="18" s="1"/>
  <c r="L37" i="18" s="1"/>
  <c r="I179" i="18"/>
  <c r="J179" i="18" s="1"/>
  <c r="L179" i="18" s="1"/>
  <c r="I136" i="18"/>
  <c r="J136" i="18" s="1"/>
  <c r="L136" i="18" s="1"/>
  <c r="I204" i="18"/>
  <c r="J204" i="18" s="1"/>
  <c r="L204" i="18" s="1"/>
  <c r="I52" i="18"/>
  <c r="J52" i="18" s="1"/>
  <c r="L52" i="18" s="1"/>
  <c r="I60" i="18"/>
  <c r="J60" i="18" s="1"/>
  <c r="L60" i="18" s="1"/>
  <c r="I153" i="18"/>
  <c r="J153" i="18" s="1"/>
  <c r="L153" i="18" s="1"/>
  <c r="I175" i="18"/>
  <c r="J175" i="18" s="1"/>
  <c r="L175" i="18" s="1"/>
  <c r="I157" i="18"/>
  <c r="J157" i="18" s="1"/>
  <c r="L157" i="18" s="1"/>
  <c r="I94" i="18"/>
  <c r="J94" i="18" s="1"/>
  <c r="L94" i="18" s="1"/>
  <c r="I30" i="18"/>
  <c r="J30" i="18" s="1"/>
  <c r="L30" i="18" s="1"/>
  <c r="I72" i="18"/>
  <c r="J72" i="18" s="1"/>
  <c r="L72" i="18" s="1"/>
  <c r="I70" i="18"/>
  <c r="J70" i="18" s="1"/>
  <c r="L70" i="18" s="1"/>
  <c r="I24" i="18"/>
  <c r="J24" i="18" s="1"/>
  <c r="L24" i="18" s="1"/>
  <c r="I138" i="18"/>
  <c r="J138" i="18" s="1"/>
  <c r="L138" i="18" s="1"/>
  <c r="I171" i="18"/>
  <c r="J171" i="18" s="1"/>
  <c r="L171" i="18" s="1"/>
  <c r="I111" i="18"/>
  <c r="J111" i="18" s="1"/>
  <c r="L111" i="18" s="1"/>
  <c r="I59" i="18"/>
  <c r="J59" i="18" s="1"/>
  <c r="L59" i="18" s="1"/>
  <c r="I39" i="18"/>
  <c r="J39" i="18" s="1"/>
  <c r="L39" i="18" s="1"/>
  <c r="I47" i="18"/>
  <c r="J47" i="18" s="1"/>
  <c r="L47" i="18" s="1"/>
  <c r="I98" i="18"/>
  <c r="J98" i="18" s="1"/>
  <c r="L98" i="18" s="1"/>
  <c r="I206" i="18"/>
  <c r="J206" i="18" s="1"/>
  <c r="L206" i="18" s="1"/>
  <c r="I198" i="18"/>
  <c r="J198" i="18" s="1"/>
  <c r="L198" i="18" s="1"/>
  <c r="I96" i="18"/>
  <c r="J96" i="18" s="1"/>
  <c r="L96" i="18" s="1"/>
  <c r="I165" i="18"/>
  <c r="J165" i="18" s="1"/>
  <c r="L165" i="18" s="1"/>
  <c r="I109" i="18"/>
  <c r="J109" i="18" s="1"/>
  <c r="L109" i="18" s="1"/>
  <c r="I166" i="18"/>
  <c r="J166" i="18" s="1"/>
  <c r="L166" i="18" s="1"/>
  <c r="I184" i="18"/>
  <c r="J184" i="18" s="1"/>
  <c r="L184" i="18" s="1"/>
  <c r="I134" i="18"/>
  <c r="J134" i="18" s="1"/>
  <c r="L134" i="18" s="1"/>
  <c r="I117" i="18"/>
  <c r="J117" i="18" s="1"/>
  <c r="L117" i="18" s="1"/>
  <c r="I118" i="18"/>
  <c r="J118" i="18" s="1"/>
  <c r="L118" i="18" s="1"/>
  <c r="I142" i="18"/>
  <c r="J142" i="18" s="1"/>
  <c r="L142" i="18" s="1"/>
  <c r="I66" i="18"/>
  <c r="J66" i="18" s="1"/>
  <c r="L66" i="18" s="1"/>
  <c r="I40" i="18"/>
  <c r="J40" i="18" s="1"/>
  <c r="L40" i="18" s="1"/>
  <c r="I61" i="18"/>
  <c r="J61" i="18" s="1"/>
  <c r="L61" i="18" s="1"/>
  <c r="I114" i="18"/>
  <c r="J114" i="18" s="1"/>
  <c r="L114" i="18" s="1"/>
  <c r="I32" i="18"/>
  <c r="J32" i="18" s="1"/>
  <c r="L32" i="18" s="1"/>
  <c r="I124" i="18"/>
  <c r="J124" i="18" s="1"/>
  <c r="L124" i="18" s="1"/>
  <c r="I209" i="18"/>
  <c r="J209" i="18" s="1"/>
  <c r="L209" i="18" s="1"/>
  <c r="I115" i="18"/>
  <c r="J115" i="18" s="1"/>
  <c r="L115" i="18" s="1"/>
  <c r="I57" i="18"/>
  <c r="J57" i="18" s="1"/>
  <c r="L57" i="18" s="1"/>
  <c r="I113" i="18"/>
  <c r="J113" i="18" s="1"/>
  <c r="L113" i="18" s="1"/>
  <c r="I31" i="18"/>
  <c r="J31" i="18" s="1"/>
  <c r="L31" i="18" s="1"/>
  <c r="I91" i="18"/>
  <c r="J91" i="18" s="1"/>
  <c r="L91" i="18" s="1"/>
  <c r="I199" i="18"/>
  <c r="J199" i="18" s="1"/>
  <c r="L199" i="18" s="1"/>
  <c r="I38" i="18"/>
  <c r="J38" i="18" s="1"/>
  <c r="L38" i="18" s="1"/>
  <c r="I158" i="18"/>
  <c r="J158" i="18" s="1"/>
  <c r="L158" i="18" s="1"/>
  <c r="I211" i="18"/>
  <c r="J211" i="18" s="1"/>
  <c r="L211" i="18" s="1"/>
  <c r="I45" i="18"/>
  <c r="J45" i="18" s="1"/>
  <c r="L45" i="18" s="1"/>
  <c r="I146" i="18"/>
  <c r="J146" i="18" s="1"/>
  <c r="L146" i="18" s="1"/>
  <c r="I145" i="18"/>
  <c r="J145" i="18" s="1"/>
  <c r="L145" i="18" s="1"/>
  <c r="I44" i="18"/>
  <c r="J44" i="18" s="1"/>
  <c r="L44" i="18" s="1"/>
  <c r="I131" i="18"/>
  <c r="J131" i="18" s="1"/>
  <c r="L131" i="18" s="1"/>
  <c r="I189" i="18"/>
  <c r="J189" i="18" s="1"/>
  <c r="L189" i="18" s="1"/>
  <c r="I185" i="18"/>
  <c r="J185" i="18" s="1"/>
  <c r="L185" i="18" s="1"/>
  <c r="I174" i="18"/>
  <c r="J174" i="18" s="1"/>
  <c r="L174" i="18" s="1"/>
  <c r="I123" i="18"/>
  <c r="J123" i="18" s="1"/>
  <c r="L123" i="18" s="1"/>
  <c r="I154" i="18"/>
  <c r="J154" i="18" s="1"/>
  <c r="L154" i="18" s="1"/>
  <c r="I149" i="18"/>
  <c r="J149" i="18" s="1"/>
  <c r="L149" i="18" s="1"/>
  <c r="I28" i="18"/>
  <c r="J28" i="18" s="1"/>
  <c r="L28" i="18" s="1"/>
  <c r="I173" i="18"/>
  <c r="J173" i="18" s="1"/>
  <c r="L173" i="18" s="1"/>
  <c r="I54" i="18"/>
  <c r="J54" i="18" s="1"/>
  <c r="L54" i="18" s="1"/>
  <c r="I49" i="18"/>
  <c r="J49" i="18" s="1"/>
  <c r="L49" i="18" s="1"/>
  <c r="I162" i="18"/>
  <c r="J162" i="18" s="1"/>
  <c r="L162" i="18" s="1"/>
  <c r="I79" i="18"/>
  <c r="J79" i="18" s="1"/>
  <c r="L79" i="18" s="1"/>
  <c r="I42" i="18"/>
  <c r="J42" i="18" s="1"/>
  <c r="L42" i="18" s="1"/>
  <c r="I144" i="18"/>
  <c r="J144" i="18" s="1"/>
  <c r="L144" i="18" s="1"/>
  <c r="I197" i="18"/>
  <c r="J197" i="18" s="1"/>
  <c r="L197" i="18" s="1"/>
  <c r="I101" i="18"/>
  <c r="J101" i="18" s="1"/>
  <c r="L101" i="18" s="1"/>
  <c r="I140" i="18"/>
  <c r="J140" i="18" s="1"/>
  <c r="L140" i="18" s="1"/>
  <c r="I68" i="18"/>
  <c r="J68" i="18" s="1"/>
  <c r="L68" i="18" s="1"/>
  <c r="I119" i="18"/>
  <c r="J119" i="18" s="1"/>
  <c r="L119" i="18" s="1"/>
  <c r="I78" i="18"/>
  <c r="J78" i="18" s="1"/>
  <c r="L78" i="18" s="1"/>
  <c r="I161" i="18"/>
  <c r="J161" i="18" s="1"/>
  <c r="L161" i="18" s="1"/>
  <c r="I82" i="18"/>
  <c r="J82" i="18" s="1"/>
  <c r="L82" i="18" s="1"/>
  <c r="I77" i="18"/>
  <c r="J77" i="18" s="1"/>
  <c r="L77" i="18" s="1"/>
  <c r="I73" i="18"/>
  <c r="J73" i="18" s="1"/>
  <c r="L73" i="18" s="1"/>
  <c r="I205" i="18"/>
  <c r="J205" i="18" s="1"/>
  <c r="L205" i="18" s="1"/>
  <c r="I116" i="18"/>
  <c r="J116" i="18" s="1"/>
  <c r="L116" i="18" s="1"/>
  <c r="I76" i="18"/>
  <c r="J76" i="18" s="1"/>
  <c r="L76" i="18" s="1"/>
  <c r="I170" i="18"/>
  <c r="J170" i="18" s="1"/>
  <c r="L170" i="18" s="1"/>
  <c r="I122" i="18"/>
  <c r="J122" i="18" s="1"/>
  <c r="L122" i="18" s="1"/>
  <c r="I48" i="18"/>
  <c r="J48" i="18" s="1"/>
  <c r="L48" i="18" s="1"/>
  <c r="I85" i="18"/>
  <c r="J85" i="18" s="1"/>
  <c r="L85" i="18" s="1"/>
  <c r="I100" i="18"/>
  <c r="J100" i="18" s="1"/>
  <c r="L100" i="18" s="1"/>
  <c r="I67" i="18"/>
  <c r="J67" i="18" s="1"/>
  <c r="L67" i="18" s="1"/>
  <c r="I23" i="18"/>
  <c r="J23" i="18" s="1"/>
  <c r="L23" i="18" s="1"/>
  <c r="I133" i="18"/>
  <c r="J133" i="18" s="1"/>
  <c r="L133" i="18" s="1"/>
  <c r="I34" i="18"/>
  <c r="J34" i="18" s="1"/>
  <c r="L34" i="18" s="1"/>
  <c r="I75" i="18"/>
  <c r="J75" i="18" s="1"/>
  <c r="L75" i="18" s="1"/>
  <c r="I121" i="18"/>
  <c r="J121" i="18" s="1"/>
  <c r="L121" i="18" s="1"/>
  <c r="I193" i="18"/>
  <c r="J193" i="18" s="1"/>
  <c r="L193" i="18" s="1"/>
  <c r="I167" i="18"/>
  <c r="J167" i="18" s="1"/>
  <c r="L167" i="18" s="1"/>
  <c r="I108" i="18"/>
  <c r="J108" i="18" s="1"/>
  <c r="L108" i="18" s="1"/>
  <c r="I87" i="18"/>
  <c r="J87" i="18" s="1"/>
  <c r="L87" i="18" s="1"/>
  <c r="I69" i="18"/>
  <c r="J69" i="18" s="1"/>
  <c r="L69" i="18" s="1"/>
  <c r="I188" i="18"/>
  <c r="J188" i="18" s="1"/>
  <c r="L188" i="18" s="1"/>
  <c r="I172" i="18"/>
  <c r="J172" i="18" s="1"/>
  <c r="L172" i="18" s="1"/>
  <c r="I195" i="18"/>
  <c r="J195" i="18" s="1"/>
  <c r="L195" i="18" s="1"/>
  <c r="I36" i="18"/>
  <c r="J36" i="18" s="1"/>
  <c r="L36" i="18" s="1"/>
  <c r="I88" i="18"/>
  <c r="J88" i="18" s="1"/>
  <c r="L88" i="18" s="1"/>
  <c r="I152" i="18"/>
  <c r="J152" i="18" s="1"/>
  <c r="L152" i="18" s="1"/>
  <c r="I27" i="18"/>
  <c r="J27" i="18" s="1"/>
  <c r="L27" i="18" s="1"/>
  <c r="I164" i="18"/>
  <c r="J164" i="18" s="1"/>
  <c r="L164" i="18" s="1"/>
  <c r="I141" i="18"/>
  <c r="J141" i="18" s="1"/>
  <c r="L141" i="18" s="1"/>
  <c r="I192" i="18"/>
  <c r="J192" i="18" s="1"/>
  <c r="L192" i="18" s="1"/>
  <c r="I107" i="18"/>
  <c r="J107" i="18" s="1"/>
  <c r="L107" i="18" s="1"/>
  <c r="I126" i="18"/>
  <c r="J126" i="18" s="1"/>
  <c r="L126" i="18" s="1"/>
  <c r="I64" i="18"/>
  <c r="J64" i="18" s="1"/>
  <c r="L64" i="18" s="1"/>
  <c r="I132" i="18"/>
  <c r="J132" i="18" s="1"/>
  <c r="L132" i="18" s="1"/>
  <c r="I112" i="18"/>
  <c r="J112" i="18" s="1"/>
  <c r="L112" i="18" s="1"/>
  <c r="I156" i="18"/>
  <c r="J156" i="18" s="1"/>
  <c r="L156" i="18" s="1"/>
  <c r="I127" i="18"/>
  <c r="J127" i="18" s="1"/>
  <c r="L127" i="18" s="1"/>
  <c r="I196" i="18"/>
  <c r="J196" i="18" s="1"/>
  <c r="L196" i="18" s="1"/>
  <c r="I151" i="18"/>
  <c r="J151" i="18" s="1"/>
  <c r="L151" i="18" s="1"/>
  <c r="I46" i="18"/>
  <c r="J46" i="18" s="1"/>
  <c r="L46" i="18" s="1"/>
  <c r="I58" i="18"/>
  <c r="J58" i="18" s="1"/>
  <c r="L58" i="18" s="1"/>
  <c r="I143" i="18"/>
  <c r="J143" i="18" s="1"/>
  <c r="L143" i="18" s="1"/>
  <c r="I120" i="18"/>
  <c r="J120" i="18" s="1"/>
  <c r="L120" i="18" s="1"/>
  <c r="I139" i="18"/>
  <c r="J139" i="18" s="1"/>
  <c r="L139" i="18" s="1"/>
  <c r="I155" i="18"/>
  <c r="J155" i="18" s="1"/>
  <c r="L155" i="18" s="1"/>
  <c r="I181" i="18"/>
  <c r="J181" i="18" s="1"/>
  <c r="L181" i="18" s="1"/>
  <c r="I163" i="18"/>
  <c r="J163" i="18" s="1"/>
  <c r="L163" i="18" s="1"/>
  <c r="I187" i="18"/>
  <c r="J187" i="18" s="1"/>
  <c r="L187" i="18" s="1"/>
  <c r="I103" i="18"/>
  <c r="J103" i="18" s="1"/>
  <c r="L103" i="18" s="1"/>
  <c r="I106" i="18"/>
  <c r="J106" i="18" s="1"/>
  <c r="L106" i="18" s="1"/>
  <c r="I25" i="18"/>
  <c r="J25" i="18" s="1"/>
  <c r="L25" i="18" s="1"/>
  <c r="I93" i="18"/>
  <c r="J93" i="18" s="1"/>
  <c r="L93" i="18" s="1"/>
  <c r="I148" i="18"/>
  <c r="J148" i="18" s="1"/>
  <c r="L148" i="18" s="1"/>
  <c r="I150" i="18"/>
  <c r="J150" i="18" s="1"/>
  <c r="L150" i="18" s="1"/>
  <c r="I159" i="18"/>
  <c r="J159" i="18" s="1"/>
  <c r="L159" i="18" s="1"/>
  <c r="I51" i="18"/>
  <c r="J51" i="18" s="1"/>
  <c r="L51" i="18" s="1"/>
  <c r="I20" i="18"/>
  <c r="J20" i="18" s="1"/>
  <c r="I50" i="18"/>
  <c r="J50" i="18" s="1"/>
  <c r="L50" i="18" s="1"/>
  <c r="I83" i="18"/>
  <c r="J83" i="18" s="1"/>
  <c r="L83" i="18" s="1"/>
  <c r="I81" i="18"/>
  <c r="J81" i="18" s="1"/>
  <c r="L81" i="18" s="1"/>
  <c r="I56" i="18"/>
  <c r="J56" i="18" s="1"/>
  <c r="I89" i="18"/>
  <c r="J89" i="18" s="1"/>
  <c r="L89" i="18" s="1"/>
  <c r="I84" i="18"/>
  <c r="J84" i="18" s="1"/>
  <c r="L84" i="18" s="1"/>
  <c r="I43" i="18"/>
  <c r="J43" i="18" s="1"/>
  <c r="L43" i="18" s="1"/>
  <c r="I128" i="18"/>
  <c r="J128" i="18" s="1"/>
  <c r="L128" i="18" s="1"/>
  <c r="I110" i="18"/>
  <c r="J110" i="18" s="1"/>
  <c r="L110" i="18" s="1"/>
  <c r="I33" i="18"/>
  <c r="J33" i="18" s="1"/>
  <c r="L33" i="18" s="1"/>
  <c r="I203" i="18"/>
  <c r="J203" i="18" s="1"/>
  <c r="L203" i="18" s="1"/>
  <c r="I102" i="18"/>
  <c r="J102" i="18" s="1"/>
  <c r="L102" i="18" s="1"/>
  <c r="I74" i="18"/>
  <c r="J74" i="18" s="1"/>
  <c r="L74" i="18" s="1"/>
  <c r="I182" i="18"/>
  <c r="J182" i="18" s="1"/>
  <c r="L182" i="18" s="1"/>
  <c r="I65" i="18"/>
  <c r="J65" i="18" s="1"/>
  <c r="L65" i="18" s="1"/>
  <c r="I125" i="18"/>
  <c r="J125" i="18" s="1"/>
  <c r="L125" i="18" s="1"/>
  <c r="I62" i="18"/>
  <c r="J62" i="18" s="1"/>
  <c r="L62" i="18" s="1"/>
  <c r="I35" i="18"/>
  <c r="J35" i="18" s="1"/>
  <c r="L35" i="18" s="1"/>
  <c r="I194" i="18"/>
  <c r="J194" i="18" s="1"/>
  <c r="L194" i="18" s="1"/>
  <c r="L56" i="18" l="1"/>
  <c r="J13" i="18"/>
  <c r="J14" i="18"/>
  <c r="L20" i="18"/>
  <c r="J212" i="18"/>
  <c r="L212" i="18" l="1"/>
  <c r="L14" i="18"/>
  <c r="L13" i="18"/>
  <c r="M119" i="18" l="1"/>
  <c r="N119" i="18" s="1"/>
  <c r="R119" i="18" s="1"/>
  <c r="M133" i="18"/>
  <c r="N133" i="18" s="1"/>
  <c r="R133" i="18" s="1"/>
  <c r="M172" i="18"/>
  <c r="N172" i="18" s="1"/>
  <c r="R172" i="18" s="1"/>
  <c r="M199" i="18"/>
  <c r="N199" i="18" s="1"/>
  <c r="R199" i="18" s="1"/>
  <c r="M179" i="18"/>
  <c r="N179" i="18" s="1"/>
  <c r="R179" i="18" s="1"/>
  <c r="M120" i="18"/>
  <c r="N120" i="18" s="1"/>
  <c r="R120" i="18" s="1"/>
  <c r="M51" i="18"/>
  <c r="N51" i="18" s="1"/>
  <c r="R51" i="18" s="1"/>
  <c r="M184" i="18"/>
  <c r="N184" i="18" s="1"/>
  <c r="R184" i="18" s="1"/>
  <c r="M157" i="18"/>
  <c r="N157" i="18" s="1"/>
  <c r="R157" i="18" s="1"/>
  <c r="M124" i="18"/>
  <c r="N124" i="18" s="1"/>
  <c r="R124" i="18" s="1"/>
  <c r="M71" i="18"/>
  <c r="N71" i="18" s="1"/>
  <c r="R71" i="18" s="1"/>
  <c r="M182" i="18"/>
  <c r="N182" i="18" s="1"/>
  <c r="R182" i="18" s="1"/>
  <c r="M125" i="18"/>
  <c r="N125" i="18" s="1"/>
  <c r="R125" i="18" s="1"/>
  <c r="M151" i="18"/>
  <c r="N151" i="18" s="1"/>
  <c r="R151" i="18" s="1"/>
  <c r="M96" i="18"/>
  <c r="N96" i="18" s="1"/>
  <c r="R96" i="18" s="1"/>
  <c r="M128" i="18"/>
  <c r="N128" i="18" s="1"/>
  <c r="R128" i="18" s="1"/>
  <c r="M194" i="18"/>
  <c r="N194" i="18" s="1"/>
  <c r="R194" i="18" s="1"/>
  <c r="M74" i="18"/>
  <c r="N74" i="18" s="1"/>
  <c r="R74" i="18" s="1"/>
  <c r="M79" i="18"/>
  <c r="N79" i="18" s="1"/>
  <c r="R79" i="18" s="1"/>
  <c r="M126" i="18"/>
  <c r="N126" i="18" s="1"/>
  <c r="R126" i="18" s="1"/>
  <c r="M37" i="18"/>
  <c r="N37" i="18" s="1"/>
  <c r="R37" i="18" s="1"/>
  <c r="M29" i="18"/>
  <c r="N29" i="18" s="1"/>
  <c r="R29" i="18" s="1"/>
  <c r="M210" i="18"/>
  <c r="N210" i="18" s="1"/>
  <c r="R210" i="18" s="1"/>
  <c r="M156" i="18"/>
  <c r="N156" i="18" s="1"/>
  <c r="R156" i="18" s="1"/>
  <c r="M107" i="18"/>
  <c r="N107" i="18" s="1"/>
  <c r="R107" i="18" s="1"/>
  <c r="M30" i="18"/>
  <c r="N30" i="18" s="1"/>
  <c r="R30" i="18" s="1"/>
  <c r="M94" i="18"/>
  <c r="N94" i="18" s="1"/>
  <c r="R94" i="18" s="1"/>
  <c r="M33" i="18"/>
  <c r="N33" i="18" s="1"/>
  <c r="R33" i="18" s="1"/>
  <c r="M39" i="18"/>
  <c r="N39" i="18" s="1"/>
  <c r="R39" i="18" s="1"/>
  <c r="M38" i="18"/>
  <c r="N38" i="18" s="1"/>
  <c r="R38" i="18" s="1"/>
  <c r="M100" i="18"/>
  <c r="N100" i="18" s="1"/>
  <c r="R100" i="18" s="1"/>
  <c r="M98" i="18"/>
  <c r="N98" i="18" s="1"/>
  <c r="R98" i="18" s="1"/>
  <c r="M97" i="18"/>
  <c r="N97" i="18" s="1"/>
  <c r="R97" i="18" s="1"/>
  <c r="M183" i="18"/>
  <c r="N183" i="18" s="1"/>
  <c r="R183" i="18" s="1"/>
  <c r="M66" i="18"/>
  <c r="N66" i="18" s="1"/>
  <c r="R66" i="18" s="1"/>
  <c r="M56" i="18"/>
  <c r="M40" i="18"/>
  <c r="N40" i="18" s="1"/>
  <c r="R40" i="18" s="1"/>
  <c r="M161" i="18"/>
  <c r="N161" i="18" s="1"/>
  <c r="R161" i="18" s="1"/>
  <c r="M174" i="18"/>
  <c r="N174" i="18" s="1"/>
  <c r="R174" i="18" s="1"/>
  <c r="M163" i="18"/>
  <c r="N163" i="18" s="1"/>
  <c r="R163" i="18" s="1"/>
  <c r="M42" i="18"/>
  <c r="N42" i="18" s="1"/>
  <c r="R42" i="18" s="1"/>
  <c r="M76" i="18"/>
  <c r="N76" i="18" s="1"/>
  <c r="R76" i="18" s="1"/>
  <c r="M138" i="18"/>
  <c r="N138" i="18" s="1"/>
  <c r="R138" i="18" s="1"/>
  <c r="M99" i="18"/>
  <c r="N99" i="18" s="1"/>
  <c r="R99" i="18" s="1"/>
  <c r="M136" i="18"/>
  <c r="N136" i="18" s="1"/>
  <c r="R136" i="18" s="1"/>
  <c r="M102" i="18"/>
  <c r="N102" i="18" s="1"/>
  <c r="R102" i="18" s="1"/>
  <c r="M23" i="18"/>
  <c r="N23" i="18" s="1"/>
  <c r="R23" i="18" s="1"/>
  <c r="M177" i="18"/>
  <c r="N177" i="18" s="1"/>
  <c r="R177" i="18" s="1"/>
  <c r="M47" i="18"/>
  <c r="N47" i="18" s="1"/>
  <c r="R47" i="18" s="1"/>
  <c r="M65" i="18"/>
  <c r="N65" i="18" s="1"/>
  <c r="R65" i="18" s="1"/>
  <c r="M144" i="18"/>
  <c r="N144" i="18" s="1"/>
  <c r="R144" i="18" s="1"/>
  <c r="M115" i="18"/>
  <c r="N115" i="18" s="1"/>
  <c r="R115" i="18" s="1"/>
  <c r="M48" i="18"/>
  <c r="N48" i="18" s="1"/>
  <c r="R48" i="18" s="1"/>
  <c r="M28" i="18"/>
  <c r="N28" i="18" s="1"/>
  <c r="R28" i="18" s="1"/>
  <c r="M117" i="18"/>
  <c r="N117" i="18" s="1"/>
  <c r="R117" i="18" s="1"/>
  <c r="M195" i="18"/>
  <c r="N195" i="18" s="1"/>
  <c r="R195" i="18" s="1"/>
  <c r="M203" i="18"/>
  <c r="N203" i="18" s="1"/>
  <c r="R203" i="18" s="1"/>
  <c r="M59" i="18"/>
  <c r="N59" i="18" s="1"/>
  <c r="R59" i="18" s="1"/>
  <c r="M86" i="18"/>
  <c r="N86" i="18" s="1"/>
  <c r="R86" i="18" s="1"/>
  <c r="M167" i="18"/>
  <c r="N167" i="18" s="1"/>
  <c r="R167" i="18" s="1"/>
  <c r="M95" i="18"/>
  <c r="N95" i="18" s="1"/>
  <c r="R95" i="18" s="1"/>
  <c r="M208" i="18"/>
  <c r="N208" i="18" s="1"/>
  <c r="R208" i="18" s="1"/>
  <c r="M25" i="18"/>
  <c r="N25" i="18" s="1"/>
  <c r="R25" i="18" s="1"/>
  <c r="M58" i="18"/>
  <c r="N58" i="18" s="1"/>
  <c r="R58" i="18" s="1"/>
  <c r="M154" i="18"/>
  <c r="N154" i="18" s="1"/>
  <c r="R154" i="18" s="1"/>
  <c r="M164" i="18"/>
  <c r="N164" i="18" s="1"/>
  <c r="R164" i="18" s="1"/>
  <c r="M67" i="18"/>
  <c r="N67" i="18" s="1"/>
  <c r="R67" i="18" s="1"/>
  <c r="M150" i="18"/>
  <c r="N150" i="18" s="1"/>
  <c r="R150" i="18" s="1"/>
  <c r="M188" i="18"/>
  <c r="N188" i="18" s="1"/>
  <c r="R188" i="18" s="1"/>
  <c r="M169" i="18"/>
  <c r="N169" i="18" s="1"/>
  <c r="R169" i="18" s="1"/>
  <c r="M197" i="18"/>
  <c r="N197" i="18" s="1"/>
  <c r="R197" i="18" s="1"/>
  <c r="M139" i="18"/>
  <c r="N139" i="18" s="1"/>
  <c r="R139" i="18" s="1"/>
  <c r="M209" i="18"/>
  <c r="N209" i="18" s="1"/>
  <c r="R209" i="18" s="1"/>
  <c r="M201" i="18"/>
  <c r="N201" i="18" s="1"/>
  <c r="R201" i="18" s="1"/>
  <c r="M180" i="18"/>
  <c r="N180" i="18" s="1"/>
  <c r="R180" i="18" s="1"/>
  <c r="M134" i="18"/>
  <c r="N134" i="18" s="1"/>
  <c r="R134" i="18" s="1"/>
  <c r="M72" i="18"/>
  <c r="N72" i="18" s="1"/>
  <c r="R72" i="18" s="1"/>
  <c r="M41" i="18"/>
  <c r="N41" i="18" s="1"/>
  <c r="R41" i="18" s="1"/>
  <c r="M196" i="18"/>
  <c r="N196" i="18" s="1"/>
  <c r="R196" i="18" s="1"/>
  <c r="M62" i="18"/>
  <c r="N62" i="18" s="1"/>
  <c r="R62" i="18" s="1"/>
  <c r="M35" i="18"/>
  <c r="N35" i="18" s="1"/>
  <c r="R35" i="18" s="1"/>
  <c r="M49" i="18"/>
  <c r="N49" i="18" s="1"/>
  <c r="R49" i="18" s="1"/>
  <c r="M137" i="18"/>
  <c r="N137" i="18" s="1"/>
  <c r="R137" i="18" s="1"/>
  <c r="M170" i="18"/>
  <c r="N170" i="18" s="1"/>
  <c r="R170" i="18" s="1"/>
  <c r="M206" i="18"/>
  <c r="N206" i="18" s="1"/>
  <c r="R206" i="18" s="1"/>
  <c r="M89" i="18"/>
  <c r="N89" i="18" s="1"/>
  <c r="R89" i="18" s="1"/>
  <c r="M93" i="18"/>
  <c r="N93" i="18" s="1"/>
  <c r="R93" i="18" s="1"/>
  <c r="M20" i="18"/>
  <c r="M68" i="18"/>
  <c r="N68" i="18" s="1"/>
  <c r="R68" i="18" s="1"/>
  <c r="M104" i="18"/>
  <c r="N104" i="18" s="1"/>
  <c r="R104" i="18" s="1"/>
  <c r="M36" i="18"/>
  <c r="N36" i="18" s="1"/>
  <c r="R36" i="18" s="1"/>
  <c r="M143" i="18"/>
  <c r="N143" i="18" s="1"/>
  <c r="R143" i="18" s="1"/>
  <c r="M109" i="18"/>
  <c r="N109" i="18" s="1"/>
  <c r="R109" i="18" s="1"/>
  <c r="M145" i="18"/>
  <c r="N145" i="18" s="1"/>
  <c r="R145" i="18" s="1"/>
  <c r="M130" i="18"/>
  <c r="N130" i="18" s="1"/>
  <c r="R130" i="18" s="1"/>
  <c r="M118" i="18"/>
  <c r="N118" i="18" s="1"/>
  <c r="R118" i="18" s="1"/>
  <c r="M24" i="18"/>
  <c r="N24" i="18" s="1"/>
  <c r="R24" i="18" s="1"/>
  <c r="M147" i="18"/>
  <c r="N147" i="18" s="1"/>
  <c r="R147" i="18" s="1"/>
  <c r="M52" i="18"/>
  <c r="N52" i="18" s="1"/>
  <c r="R52" i="18" s="1"/>
  <c r="M187" i="18"/>
  <c r="N187" i="18" s="1"/>
  <c r="R187" i="18" s="1"/>
  <c r="M113" i="18"/>
  <c r="N113" i="18" s="1"/>
  <c r="R113" i="18" s="1"/>
  <c r="M173" i="18"/>
  <c r="N173" i="18" s="1"/>
  <c r="R173" i="18" s="1"/>
  <c r="M110" i="18"/>
  <c r="N110" i="18" s="1"/>
  <c r="R110" i="18" s="1"/>
  <c r="M103" i="18"/>
  <c r="N103" i="18" s="1"/>
  <c r="R103" i="18" s="1"/>
  <c r="M153" i="18"/>
  <c r="N153" i="18" s="1"/>
  <c r="R153" i="18" s="1"/>
  <c r="M45" i="18"/>
  <c r="N45" i="18" s="1"/>
  <c r="R45" i="18" s="1"/>
  <c r="M34" i="18"/>
  <c r="N34" i="18" s="1"/>
  <c r="R34" i="18" s="1"/>
  <c r="M85" i="18"/>
  <c r="N85" i="18" s="1"/>
  <c r="R85" i="18" s="1"/>
  <c r="M202" i="18"/>
  <c r="N202" i="18" s="1"/>
  <c r="R202" i="18" s="1"/>
  <c r="M160" i="18"/>
  <c r="N160" i="18" s="1"/>
  <c r="R160" i="18" s="1"/>
  <c r="M158" i="18"/>
  <c r="N158" i="18" s="1"/>
  <c r="R158" i="18" s="1"/>
  <c r="M112" i="18"/>
  <c r="N112" i="18" s="1"/>
  <c r="R112" i="18" s="1"/>
  <c r="M176" i="18"/>
  <c r="N176" i="18" s="1"/>
  <c r="R176" i="18" s="1"/>
  <c r="M155" i="18"/>
  <c r="N155" i="18" s="1"/>
  <c r="R155" i="18" s="1"/>
  <c r="M105" i="18"/>
  <c r="N105" i="18" s="1"/>
  <c r="R105" i="18" s="1"/>
  <c r="M75" i="18"/>
  <c r="N75" i="18" s="1"/>
  <c r="R75" i="18" s="1"/>
  <c r="M175" i="18"/>
  <c r="N175" i="18" s="1"/>
  <c r="R175" i="18" s="1"/>
  <c r="M31" i="18"/>
  <c r="N31" i="18" s="1"/>
  <c r="R31" i="18" s="1"/>
  <c r="M121" i="18"/>
  <c r="N121" i="18" s="1"/>
  <c r="R121" i="18" s="1"/>
  <c r="M140" i="18"/>
  <c r="N140" i="18" s="1"/>
  <c r="R140" i="18" s="1"/>
  <c r="M69" i="18"/>
  <c r="N69" i="18" s="1"/>
  <c r="R69" i="18" s="1"/>
  <c r="M162" i="18"/>
  <c r="N162" i="18" s="1"/>
  <c r="R162" i="18" s="1"/>
  <c r="M198" i="18"/>
  <c r="N198" i="18" s="1"/>
  <c r="R198" i="18" s="1"/>
  <c r="M135" i="18"/>
  <c r="N135" i="18" s="1"/>
  <c r="R135" i="18" s="1"/>
  <c r="M168" i="18"/>
  <c r="N168" i="18" s="1"/>
  <c r="R168" i="18" s="1"/>
  <c r="M57" i="18"/>
  <c r="N57" i="18" s="1"/>
  <c r="R57" i="18" s="1"/>
  <c r="M185" i="18"/>
  <c r="N185" i="18" s="1"/>
  <c r="R185" i="18" s="1"/>
  <c r="M22" i="18"/>
  <c r="N22" i="18" s="1"/>
  <c r="R22" i="18" s="1"/>
  <c r="M80" i="18"/>
  <c r="N80" i="18" s="1"/>
  <c r="R80" i="18" s="1"/>
  <c r="M82" i="18"/>
  <c r="N82" i="18" s="1"/>
  <c r="R82" i="18" s="1"/>
  <c r="M114" i="18"/>
  <c r="N114" i="18" s="1"/>
  <c r="R114" i="18" s="1"/>
  <c r="M61" i="18"/>
  <c r="N61" i="18" s="1"/>
  <c r="R61" i="18" s="1"/>
  <c r="M43" i="18"/>
  <c r="N43" i="18" s="1"/>
  <c r="R43" i="18" s="1"/>
  <c r="M73" i="18"/>
  <c r="N73" i="18" s="1"/>
  <c r="R73" i="18" s="1"/>
  <c r="M44" i="18"/>
  <c r="N44" i="18" s="1"/>
  <c r="R44" i="18" s="1"/>
  <c r="M77" i="18"/>
  <c r="N77" i="18" s="1"/>
  <c r="R77" i="18" s="1"/>
  <c r="M146" i="18"/>
  <c r="N146" i="18" s="1"/>
  <c r="R146" i="18" s="1"/>
  <c r="M204" i="18"/>
  <c r="N204" i="18" s="1"/>
  <c r="R204" i="18" s="1"/>
  <c r="M132" i="18"/>
  <c r="N132" i="18" s="1"/>
  <c r="R132" i="18" s="1"/>
  <c r="M26" i="18"/>
  <c r="N26" i="18" s="1"/>
  <c r="R26" i="18" s="1"/>
  <c r="M148" i="18"/>
  <c r="N148" i="18" s="1"/>
  <c r="R148" i="18" s="1"/>
  <c r="M78" i="18"/>
  <c r="N78" i="18" s="1"/>
  <c r="R78" i="18" s="1"/>
  <c r="M211" i="18"/>
  <c r="N211" i="18" s="1"/>
  <c r="R211" i="18" s="1"/>
  <c r="M91" i="18"/>
  <c r="N91" i="18" s="1"/>
  <c r="R91" i="18" s="1"/>
  <c r="M46" i="18"/>
  <c r="N46" i="18" s="1"/>
  <c r="R46" i="18" s="1"/>
  <c r="M83" i="18"/>
  <c r="N83" i="18" s="1"/>
  <c r="R83" i="18" s="1"/>
  <c r="M55" i="18"/>
  <c r="N55" i="18" s="1"/>
  <c r="R55" i="18" s="1"/>
  <c r="M127" i="18"/>
  <c r="N127" i="18" s="1"/>
  <c r="R127" i="18" s="1"/>
  <c r="M90" i="18"/>
  <c r="N90" i="18" s="1"/>
  <c r="R90" i="18" s="1"/>
  <c r="M178" i="18"/>
  <c r="N178" i="18" s="1"/>
  <c r="R178" i="18" s="1"/>
  <c r="M166" i="18"/>
  <c r="N166" i="18" s="1"/>
  <c r="R166" i="18" s="1"/>
  <c r="M111" i="18"/>
  <c r="N111" i="18" s="1"/>
  <c r="R111" i="18" s="1"/>
  <c r="M191" i="18"/>
  <c r="N191" i="18" s="1"/>
  <c r="R191" i="18" s="1"/>
  <c r="M165" i="18"/>
  <c r="N165" i="18" s="1"/>
  <c r="R165" i="18" s="1"/>
  <c r="M192" i="18"/>
  <c r="N192" i="18" s="1"/>
  <c r="R192" i="18" s="1"/>
  <c r="M64" i="18"/>
  <c r="N64" i="18" s="1"/>
  <c r="R64" i="18" s="1"/>
  <c r="M27" i="18"/>
  <c r="N27" i="18" s="1"/>
  <c r="R27" i="18" s="1"/>
  <c r="M189" i="18"/>
  <c r="N189" i="18" s="1"/>
  <c r="R189" i="18" s="1"/>
  <c r="M84" i="18"/>
  <c r="N84" i="18" s="1"/>
  <c r="R84" i="18" s="1"/>
  <c r="M129" i="18"/>
  <c r="N129" i="18" s="1"/>
  <c r="R129" i="18" s="1"/>
  <c r="M88" i="18"/>
  <c r="N88" i="18" s="1"/>
  <c r="R88" i="18" s="1"/>
  <c r="M92" i="18"/>
  <c r="N92" i="18" s="1"/>
  <c r="R92" i="18" s="1"/>
  <c r="M70" i="18"/>
  <c r="N70" i="18" s="1"/>
  <c r="R70" i="18" s="1"/>
  <c r="M152" i="18"/>
  <c r="N152" i="18" s="1"/>
  <c r="R152" i="18" s="1"/>
  <c r="M116" i="18"/>
  <c r="N116" i="18" s="1"/>
  <c r="R116" i="18" s="1"/>
  <c r="M205" i="18"/>
  <c r="N205" i="18" s="1"/>
  <c r="R205" i="18" s="1"/>
  <c r="M122" i="18"/>
  <c r="N122" i="18" s="1"/>
  <c r="R122" i="18" s="1"/>
  <c r="M101" i="18"/>
  <c r="N101" i="18" s="1"/>
  <c r="R101" i="18" s="1"/>
  <c r="M186" i="18"/>
  <c r="N186" i="18" s="1"/>
  <c r="R186" i="18" s="1"/>
  <c r="M190" i="18"/>
  <c r="N190" i="18" s="1"/>
  <c r="R190" i="18" s="1"/>
  <c r="M171" i="18"/>
  <c r="N171" i="18" s="1"/>
  <c r="R171" i="18" s="1"/>
  <c r="M54" i="18"/>
  <c r="N54" i="18" s="1"/>
  <c r="R54" i="18" s="1"/>
  <c r="M200" i="18"/>
  <c r="N200" i="18" s="1"/>
  <c r="R200" i="18" s="1"/>
  <c r="M141" i="18"/>
  <c r="N141" i="18" s="1"/>
  <c r="R141" i="18" s="1"/>
  <c r="M159" i="18"/>
  <c r="N159" i="18" s="1"/>
  <c r="R159" i="18" s="1"/>
  <c r="M53" i="18"/>
  <c r="N53" i="18" s="1"/>
  <c r="R53" i="18" s="1"/>
  <c r="M193" i="18"/>
  <c r="N193" i="18" s="1"/>
  <c r="R193" i="18" s="1"/>
  <c r="M63" i="18"/>
  <c r="N63" i="18" s="1"/>
  <c r="R63" i="18" s="1"/>
  <c r="M142" i="18"/>
  <c r="N142" i="18" s="1"/>
  <c r="R142" i="18" s="1"/>
  <c r="M181" i="18"/>
  <c r="N181" i="18" s="1"/>
  <c r="R181" i="18" s="1"/>
  <c r="M60" i="18"/>
  <c r="N60" i="18" s="1"/>
  <c r="R60" i="18" s="1"/>
  <c r="M149" i="18"/>
  <c r="N149" i="18" s="1"/>
  <c r="R149" i="18" s="1"/>
  <c r="M106" i="18"/>
  <c r="N106" i="18" s="1"/>
  <c r="R106" i="18" s="1"/>
  <c r="M87" i="18"/>
  <c r="N87" i="18" s="1"/>
  <c r="R87" i="18" s="1"/>
  <c r="M50" i="18"/>
  <c r="N50" i="18" s="1"/>
  <c r="R50" i="18" s="1"/>
  <c r="M21" i="18"/>
  <c r="N21" i="18" s="1"/>
  <c r="R21" i="18" s="1"/>
  <c r="M131" i="18"/>
  <c r="N131" i="18" s="1"/>
  <c r="R131" i="18" s="1"/>
  <c r="M123" i="18"/>
  <c r="N123" i="18" s="1"/>
  <c r="R123" i="18" s="1"/>
  <c r="M81" i="18"/>
  <c r="N81" i="18" s="1"/>
  <c r="R81" i="18" s="1"/>
  <c r="M32" i="18"/>
  <c r="N32" i="18" s="1"/>
  <c r="R32" i="18" s="1"/>
  <c r="M108" i="18"/>
  <c r="N108" i="18" s="1"/>
  <c r="R108" i="18" s="1"/>
  <c r="M207" i="18"/>
  <c r="N207" i="18" s="1"/>
  <c r="R207" i="18" s="1"/>
  <c r="M212" i="18" l="1"/>
  <c r="N20" i="18"/>
  <c r="M13" i="18"/>
  <c r="N56" i="18"/>
  <c r="N13" i="18" l="1"/>
  <c r="R56" i="18"/>
  <c r="R13" i="18" s="1"/>
  <c r="R20" i="18"/>
  <c r="N14" i="18"/>
  <c r="R14" i="18" l="1"/>
  <c r="R212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rlp</author>
  </authors>
  <commentList>
    <comment ref="J2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True-Up ATRR and rate from current year's (t=0) update.
</t>
        </r>
      </text>
    </comment>
    <comment ref="K2" authorId="0" shapeId="0" xr:uid="{00000000-0006-0000-0300-000002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K3" authorId="0" shapeId="0" xr:uid="{00000000-0006-0000-0300-000003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K5" authorId="0" shapeId="0" xr:uid="{00000000-0006-0000-0300-000004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K6" authorId="0" shapeId="0" xr:uid="{00000000-0006-0000-0300-000005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J19" authorId="0" shapeId="0" xr:uid="{00000000-0006-0000-0300-000006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Actual Charge based on after the fact "True-Up" rate for entire prior CY.</t>
        </r>
      </text>
    </comment>
    <comment ref="K19" authorId="0" shapeId="0" xr:uid="{00000000-0006-0000-0300-000007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Amount charged during the Rate Year based on projected rates.</t>
        </r>
      </text>
    </comment>
  </commentList>
</comments>
</file>

<file path=xl/sharedStrings.xml><?xml version="1.0" encoding="utf-8"?>
<sst xmlns="http://schemas.openxmlformats.org/spreadsheetml/2006/main" count="421" uniqueCount="105">
  <si>
    <t>Customer</t>
  </si>
  <si>
    <t>MW</t>
  </si>
  <si>
    <t>Total True-up</t>
  </si>
  <si>
    <t>True-Up w/o Interest</t>
  </si>
  <si>
    <t>Billing
Date*</t>
  </si>
  <si>
    <t>Payment Received*</t>
  </si>
  <si>
    <t>Annual RR</t>
  </si>
  <si>
    <t>Interest</t>
  </si>
  <si>
    <t>OMPA</t>
  </si>
  <si>
    <t>WFEC</t>
  </si>
  <si>
    <t>Monthly Rate</t>
  </si>
  <si>
    <t>True-up Values:  Surcharge / (Refund)</t>
  </si>
  <si>
    <t>Sched.</t>
  </si>
  <si>
    <t>ETEC</t>
  </si>
  <si>
    <t>AECC</t>
  </si>
  <si>
    <t>Greenbelt</t>
  </si>
  <si>
    <t>Lighthouse</t>
  </si>
  <si>
    <t>Coffeyville, KS</t>
  </si>
  <si>
    <t>Grand Total</t>
  </si>
  <si>
    <t>OG&amp;E</t>
  </si>
  <si>
    <t>AEP Revenue Adjustment</t>
  </si>
  <si>
    <t>PSO</t>
  </si>
  <si>
    <t>SWEPCO</t>
  </si>
  <si>
    <r>
      <t xml:space="preserve">NOTE:  </t>
    </r>
    <r>
      <rPr>
        <sz val="10"/>
        <rFont val="Arial"/>
        <family val="2"/>
      </rPr>
      <t>This is a normal part of the Annual True-up</t>
    </r>
  </si>
  <si>
    <t>Data</t>
  </si>
  <si>
    <t>Sum of True-Up w/o Interest</t>
  </si>
  <si>
    <t>Sum of Interest</t>
  </si>
  <si>
    <t>Sum of Total True-up</t>
  </si>
  <si>
    <t>Total Sum of True-Up w/o Interest</t>
  </si>
  <si>
    <t>Total Sum of Interest</t>
  </si>
  <si>
    <t>Total Sum of Total True-up</t>
  </si>
  <si>
    <t>(A)</t>
  </si>
  <si>
    <t>(B)</t>
  </si>
  <si>
    <t>(C)</t>
  </si>
  <si>
    <t>(D) = (B) - (C)</t>
  </si>
  <si>
    <t>(E)</t>
  </si>
  <si>
    <t>Network Customer True-Up (Schedule 9 charges)</t>
  </si>
  <si>
    <t>Projected</t>
  </si>
  <si>
    <r>
      <t xml:space="preserve">Projected </t>
    </r>
    <r>
      <rPr>
        <sz val="10"/>
        <rFont val="Arial Narrow"/>
        <family val="2"/>
      </rPr>
      <t>(Invoiced)</t>
    </r>
  </si>
  <si>
    <t xml:space="preserve">  ARR</t>
  </si>
  <si>
    <t xml:space="preserve">  Monthly Rates</t>
  </si>
  <si>
    <r>
      <t>Actual</t>
    </r>
    <r>
      <rPr>
        <sz val="10"/>
        <rFont val="Arial Narrow"/>
        <family val="2"/>
      </rPr>
      <t xml:space="preserve"> (True-Up)</t>
    </r>
  </si>
  <si>
    <r>
      <t xml:space="preserve">Actual </t>
    </r>
    <r>
      <rPr>
        <sz val="10"/>
        <rFont val="Arial Narrow"/>
        <family val="2"/>
      </rPr>
      <t>(True-Up)</t>
    </r>
  </si>
  <si>
    <t xml:space="preserve">    Non-Affiliate
    Subtotals</t>
  </si>
  <si>
    <t>TOTALS</t>
  </si>
  <si>
    <t>Comment</t>
  </si>
  <si>
    <t>Actual True-Up Rate</t>
  </si>
  <si>
    <t>Invoiced*** Charge (proj.)</t>
  </si>
  <si>
    <r>
      <t>Projected Rate</t>
    </r>
    <r>
      <rPr>
        <sz val="8"/>
        <rFont val="Arial"/>
        <family val="2"/>
      </rPr>
      <t xml:space="preserve"> (as Invoiced)</t>
    </r>
  </si>
  <si>
    <t>Sum of Invoiced*** Charge (proj.)</t>
  </si>
  <si>
    <t xml:space="preserve">  Customer</t>
  </si>
  <si>
    <t xml:space="preserve">    Affiliate
    Subtotals</t>
  </si>
  <si>
    <t>Customer True-Up for Amounts Billed</t>
  </si>
  <si>
    <t>Serivce Month</t>
  </si>
  <si>
    <t>Bentonville, AR</t>
  </si>
  <si>
    <t>Prescott, AR</t>
  </si>
  <si>
    <t>Minden, LA</t>
  </si>
  <si>
    <t>Hope, AR</t>
  </si>
  <si>
    <t>3rd Party Totals</t>
  </si>
  <si>
    <t>SPP Zone1 Totals (incl. PSO/SWE)</t>
  </si>
  <si>
    <t>Surcharge / (Refund)</t>
  </si>
  <si>
    <t>Total Sum of Invoiced*** Charge (proj.)</t>
  </si>
  <si>
    <r>
      <t xml:space="preserve">*** </t>
    </r>
    <r>
      <rPr>
        <sz val="8"/>
        <rFont val="Arial"/>
        <family val="2"/>
      </rPr>
      <t>Invoiced Charge reflects any subsequent routine invoice corrections by SPP.</t>
    </r>
  </si>
  <si>
    <t>Instructions</t>
  </si>
  <si>
    <r>
      <t>Roll Date: input trueup year in cell=</t>
    </r>
    <r>
      <rPr>
        <b/>
        <i/>
        <sz val="10"/>
        <rFont val="Arial"/>
        <family val="2"/>
      </rPr>
      <t>Transactions!N1</t>
    </r>
  </si>
  <si>
    <t>Update Prime Rates data:  see Prime-Rates tab</t>
  </si>
  <si>
    <r>
      <t>Verify Refund Date:  verify and change (if needed) Refund Date celll=</t>
    </r>
    <r>
      <rPr>
        <b/>
        <i/>
        <sz val="10"/>
        <rFont val="Arial"/>
        <family val="2"/>
      </rPr>
      <t>Transactions!W8</t>
    </r>
  </si>
  <si>
    <t>Billing/Pmt Rec'd Dates:  Verify these dates (currently set to formulaicly update relative to trueup year)</t>
  </si>
  <si>
    <t>Update SPP Zone1 NITS Customer list &amp; formulas (if needed): look at LoadWS in main template &amp; also check w/Load Settlements.</t>
  </si>
  <si>
    <t>Update invoiced Load values per month per customer (from LoadWS in main template) (transpose)</t>
  </si>
  <si>
    <t>Sum of True-Up Charge</t>
  </si>
  <si>
    <t>Total Sum of True-Up Charge</t>
  </si>
  <si>
    <r>
      <t xml:space="preserve">Refresh Pivot Table in </t>
    </r>
    <r>
      <rPr>
        <b/>
        <sz val="10"/>
        <rFont val="Arial"/>
        <family val="2"/>
      </rPr>
      <t>tab=PIVOT</t>
    </r>
  </si>
  <si>
    <t>NOTE:  Be aware that title changes to a Transaction tab column summarized in the pivot table cause such column to be dropped form the pivot table when it is refreshed.</t>
  </si>
  <si>
    <t>NOTE:  In that instance, manually update the LAYOUT of the pivot table to re-summarize the column that encountered a title change.</t>
  </si>
  <si>
    <t>NOTE:  The SUMMARY table in that tab contains GETPIVOTDATA functions that should still work as they reference tltle cells in Transactions tab.</t>
  </si>
  <si>
    <t>Update Rate Summary tab. (very manual process).</t>
  </si>
  <si>
    <t xml:space="preserve">            as contemplated in the AEP Formula Rate Protocols.</t>
  </si>
  <si>
    <t>NOTE:  "Rate Summary" tab is usually "walked-through" during customer meeting but not printed.</t>
  </si>
  <si>
    <t>NOTE:  Print to PDF the "Summary" tab as a supplement for customer Mtg handout and published PDFs.</t>
  </si>
  <si>
    <r>
      <t>Input Sched 9 ATRRs &amp; rates from prior 2 update's (projected) and this year's update (trueup)=</t>
    </r>
    <r>
      <rPr>
        <b/>
        <i/>
        <sz val="10"/>
        <rFont val="Arial"/>
        <family val="2"/>
      </rPr>
      <t>Transactions!J2:K8</t>
    </r>
  </si>
  <si>
    <t>SWEPCO-Valley</t>
  </si>
  <si>
    <t>* SPP bills customer on third business day, AEP receives on 24th or next business day.</t>
  </si>
  <si>
    <t>AECI</t>
  </si>
  <si>
    <t>Tax Rebilling Rate</t>
  </si>
  <si>
    <t>Tax True Up Billing</t>
  </si>
  <si>
    <t>Tax True Up</t>
  </si>
  <si>
    <t>Sum of Tax True Up Billing</t>
  </si>
  <si>
    <t>Total Sum of Tax True Up Billing</t>
  </si>
  <si>
    <t>Sum of Tax True Up</t>
  </si>
  <si>
    <t>Total Sum of Tax True Up</t>
  </si>
  <si>
    <t>(G) = (D) + (E) - (F)</t>
  </si>
  <si>
    <t>(G)</t>
  </si>
  <si>
    <t>January - December</t>
  </si>
  <si>
    <t>PUBLIC SERVICE COMPANY of OKLAHOMA &amp; SOUTHWESTERN ELECTRIC POWER</t>
  </si>
  <si>
    <t>(H)</t>
  </si>
  <si>
    <t xml:space="preserve"> (I) = (G) + (H)</t>
  </si>
  <si>
    <t>AEPTCo Formula Rate -- FERC Docket ER18-195</t>
  </si>
  <si>
    <t>2020 True Up Including Interest</t>
  </si>
  <si>
    <t>2019 Tax True Up</t>
  </si>
  <si>
    <t>2017 ROE Refund</t>
  </si>
  <si>
    <r>
      <t>2021 True-Up
(</t>
    </r>
    <r>
      <rPr>
        <sz val="10"/>
        <rFont val="Arial"/>
        <family val="2"/>
      </rPr>
      <t>w/o Interest)</t>
    </r>
  </si>
  <si>
    <t>2021 Interest</t>
  </si>
  <si>
    <t>Total 2021
True-Up Surcharge / (Refund)</t>
  </si>
  <si>
    <t>Total NITS Surcharge / Refund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</si>
</sst>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&quot;$&quot;* #,##0_);_(&quot;$&quot;* \(#,##0\);_(&quot;$&quot;* &quot;-&quot;??_);_(@_)"/>
    <numFmt numFmtId="166" formatCode="_(* #,##0_);_(* \(#,##0\);_(* &quot;-&quot;??_);_(@_)"/>
    <numFmt numFmtId="167" formatCode="&quot;$&quot;#,##0"/>
    <numFmt numFmtId="168" formatCode="0.0%"/>
  </numFmts>
  <fonts count="2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8"/>
      <color indexed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4"/>
      <name val="Arial Narrow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name val="Arial"/>
      <family val="2"/>
    </font>
    <font>
      <i/>
      <sz val="9"/>
      <color indexed="10"/>
      <name val="Arial"/>
      <family val="2"/>
    </font>
    <font>
      <b/>
      <sz val="10"/>
      <color indexed="12"/>
      <name val="Arial"/>
      <family val="2"/>
    </font>
    <font>
      <b/>
      <i/>
      <sz val="10"/>
      <name val="Arial"/>
      <family val="2"/>
    </font>
    <font>
      <sz val="10"/>
      <color rgb="FF0000FF"/>
      <name val="Arial"/>
      <family val="2"/>
    </font>
    <font>
      <sz val="8"/>
      <color rgb="FF0066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55">
    <xf numFmtId="0" fontId="0" fillId="0" borderId="0" xfId="0"/>
    <xf numFmtId="0" fontId="0" fillId="0" borderId="0" xfId="0" applyProtection="1"/>
    <xf numFmtId="0" fontId="0" fillId="0" borderId="0" xfId="0" applyFill="1" applyProtection="1"/>
    <xf numFmtId="0" fontId="0" fillId="0" borderId="0" xfId="0" quotePrefix="1" applyAlignment="1" applyProtection="1">
      <alignment horizontal="left"/>
    </xf>
    <xf numFmtId="0" fontId="2" fillId="0" borderId="0" xfId="0" quotePrefix="1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23" fillId="6" borderId="0" xfId="0" applyFont="1" applyFill="1" applyProtection="1"/>
    <xf numFmtId="0" fontId="2" fillId="2" borderId="0" xfId="0" quotePrefix="1" applyFont="1" applyFill="1" applyAlignment="1" applyProtection="1">
      <alignment horizontal="left"/>
    </xf>
    <xf numFmtId="0" fontId="0" fillId="2" borderId="0" xfId="0" applyFill="1" applyProtection="1"/>
    <xf numFmtId="0" fontId="10" fillId="0" borderId="0" xfId="0" quotePrefix="1" applyFont="1" applyAlignment="1" applyProtection="1">
      <alignment horizontal="left"/>
    </xf>
    <xf numFmtId="0" fontId="3" fillId="0" borderId="0" xfId="0" quotePrefix="1" applyFont="1" applyAlignment="1" applyProtection="1">
      <alignment horizontal="left"/>
    </xf>
    <xf numFmtId="0" fontId="16" fillId="0" borderId="1" xfId="0" quotePrefix="1" applyFont="1" applyFill="1" applyBorder="1" applyAlignment="1" applyProtection="1">
      <alignment horizontal="center" vertical="center"/>
    </xf>
    <xf numFmtId="0" fontId="15" fillId="0" borderId="2" xfId="0" quotePrefix="1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15" fillId="0" borderId="4" xfId="0" quotePrefix="1" applyFont="1" applyBorder="1" applyAlignment="1" applyProtection="1">
      <alignment horizontal="right"/>
    </xf>
    <xf numFmtId="0" fontId="15" fillId="0" borderId="0" xfId="0" quotePrefix="1" applyFont="1" applyBorder="1" applyAlignment="1" applyProtection="1">
      <alignment horizontal="right"/>
    </xf>
    <xf numFmtId="164" fontId="4" fillId="0" borderId="0" xfId="0" applyNumberFormat="1" applyFont="1" applyFill="1" applyBorder="1" applyAlignment="1" applyProtection="1">
      <alignment horizontal="centerContinuous"/>
    </xf>
    <xf numFmtId="0" fontId="14" fillId="0" borderId="5" xfId="0" applyFont="1" applyBorder="1" applyAlignment="1" applyProtection="1">
      <alignment horizontal="center" vertical="center" wrapText="1"/>
    </xf>
    <xf numFmtId="0" fontId="14" fillId="0" borderId="0" xfId="0" quotePrefix="1" applyFont="1" applyAlignment="1" applyProtection="1">
      <alignment horizontal="center" vertical="center" wrapText="1"/>
    </xf>
    <xf numFmtId="0" fontId="14" fillId="0" borderId="6" xfId="0" quotePrefix="1" applyFont="1" applyBorder="1" applyAlignment="1" applyProtection="1">
      <alignment horizontal="center" vertical="center" wrapText="1"/>
    </xf>
    <xf numFmtId="0" fontId="14" fillId="0" borderId="0" xfId="0" quotePrefix="1" applyFont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left"/>
    </xf>
    <xf numFmtId="0" fontId="15" fillId="0" borderId="2" xfId="0" quotePrefix="1" applyFont="1" applyBorder="1" applyAlignment="1" applyProtection="1">
      <alignment horizontal="left" vertical="center"/>
    </xf>
    <xf numFmtId="0" fontId="15" fillId="0" borderId="3" xfId="0" quotePrefix="1" applyFont="1" applyBorder="1" applyAlignment="1" applyProtection="1">
      <alignment horizontal="left" vertical="center"/>
    </xf>
    <xf numFmtId="167" fontId="1" fillId="0" borderId="3" xfId="0" applyNumberFormat="1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 applyProtection="1">
      <alignment horizontal="center" vertical="center"/>
    </xf>
    <xf numFmtId="167" fontId="13" fillId="0" borderId="4" xfId="0" applyNumberFormat="1" applyFont="1" applyFill="1" applyBorder="1" applyAlignment="1" applyProtection="1">
      <alignment horizontal="center" vertical="center"/>
    </xf>
    <xf numFmtId="167" fontId="13" fillId="0" borderId="0" xfId="0" applyNumberFormat="1" applyFont="1" applyFill="1" applyBorder="1" applyAlignment="1" applyProtection="1">
      <alignment horizontal="center" vertical="center"/>
    </xf>
    <xf numFmtId="0" fontId="15" fillId="0" borderId="7" xfId="0" applyFont="1" applyBorder="1" applyAlignment="1" applyProtection="1">
      <alignment vertical="center"/>
    </xf>
    <xf numFmtId="0" fontId="15" fillId="0" borderId="8" xfId="0" quotePrefix="1" applyFont="1" applyBorder="1" applyAlignment="1" applyProtection="1">
      <alignment horizontal="left" vertical="center"/>
    </xf>
    <xf numFmtId="0" fontId="12" fillId="0" borderId="8" xfId="0" quotePrefix="1" applyFont="1" applyFill="1" applyBorder="1" applyAlignment="1" applyProtection="1">
      <alignment horizontal="center" vertical="center"/>
    </xf>
    <xf numFmtId="167" fontId="13" fillId="0" borderId="8" xfId="0" quotePrefix="1" applyNumberFormat="1" applyFont="1" applyFill="1" applyBorder="1" applyAlignment="1" applyProtection="1">
      <alignment horizontal="center" vertical="center"/>
    </xf>
    <xf numFmtId="0" fontId="13" fillId="0" borderId="9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167" fontId="0" fillId="0" borderId="0" xfId="0" applyNumberFormat="1" applyProtection="1"/>
    <xf numFmtId="0" fontId="10" fillId="0" borderId="0" xfId="0" applyFont="1" applyFill="1" applyBorder="1" applyAlignment="1" applyProtection="1">
      <alignment horizontal="center"/>
    </xf>
    <xf numFmtId="0" fontId="15" fillId="0" borderId="10" xfId="0" quotePrefix="1" applyFont="1" applyBorder="1" applyAlignment="1" applyProtection="1">
      <alignment horizontal="left" vertical="center"/>
    </xf>
    <xf numFmtId="0" fontId="15" fillId="0" borderId="0" xfId="0" quotePrefix="1" applyFont="1" applyBorder="1" applyAlignment="1" applyProtection="1">
      <alignment horizontal="left" vertical="center"/>
    </xf>
    <xf numFmtId="164" fontId="13" fillId="0" borderId="0" xfId="0" quotePrefix="1" applyNumberFormat="1" applyFont="1" applyFill="1" applyBorder="1" applyAlignment="1" applyProtection="1">
      <alignment horizontal="center" vertical="center" wrapText="1"/>
    </xf>
    <xf numFmtId="164" fontId="13" fillId="0" borderId="11" xfId="0" quotePrefix="1" applyNumberFormat="1" applyFont="1" applyFill="1" applyBorder="1" applyAlignment="1" applyProtection="1">
      <alignment horizontal="center" vertical="center"/>
    </xf>
    <xf numFmtId="164" fontId="13" fillId="0" borderId="0" xfId="0" quotePrefix="1" applyNumberFormat="1" applyFont="1" applyFill="1" applyBorder="1" applyAlignment="1" applyProtection="1">
      <alignment horizontal="center" vertical="center"/>
    </xf>
    <xf numFmtId="164" fontId="0" fillId="0" borderId="0" xfId="0" applyNumberFormat="1" applyProtection="1"/>
    <xf numFmtId="0" fontId="15" fillId="0" borderId="5" xfId="0" applyFont="1" applyBorder="1" applyAlignment="1" applyProtection="1">
      <alignment vertical="center"/>
    </xf>
    <xf numFmtId="0" fontId="15" fillId="0" borderId="1" xfId="0" quotePrefix="1" applyFont="1" applyBorder="1" applyAlignment="1" applyProtection="1">
      <alignment horizontal="left" vertical="center"/>
    </xf>
    <xf numFmtId="0" fontId="12" fillId="0" borderId="1" xfId="0" applyFont="1" applyFill="1" applyBorder="1" applyAlignment="1" applyProtection="1">
      <alignment horizontal="center" vertical="center"/>
    </xf>
    <xf numFmtId="164" fontId="1" fillId="0" borderId="1" xfId="0" quotePrefix="1" applyNumberFormat="1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14" fillId="0" borderId="0" xfId="0" quotePrefix="1" applyFont="1" applyFill="1" applyBorder="1" applyAlignment="1" applyProtection="1">
      <alignment horizontal="left"/>
    </xf>
    <xf numFmtId="0" fontId="10" fillId="0" borderId="0" xfId="0" applyFont="1" applyFill="1" applyBorder="1" applyProtection="1"/>
    <xf numFmtId="0" fontId="10" fillId="0" borderId="0" xfId="0" quotePrefix="1" applyFont="1" applyFill="1" applyBorder="1" applyAlignment="1" applyProtection="1">
      <alignment horizontal="center"/>
    </xf>
    <xf numFmtId="164" fontId="0" fillId="0" borderId="0" xfId="0" applyNumberFormat="1" applyBorder="1" applyAlignment="1" applyProtection="1">
      <alignment horizontal="center"/>
    </xf>
    <xf numFmtId="0" fontId="0" fillId="0" borderId="0" xfId="0" applyBorder="1" applyProtection="1"/>
    <xf numFmtId="165" fontId="0" fillId="0" borderId="0" xfId="2" applyNumberFormat="1" applyFont="1" applyBorder="1" applyProtection="1"/>
    <xf numFmtId="0" fontId="0" fillId="0" borderId="0" xfId="0" quotePrefix="1" applyBorder="1" applyAlignment="1" applyProtection="1">
      <alignment horizontal="left"/>
    </xf>
    <xf numFmtId="0" fontId="0" fillId="0" borderId="0" xfId="0" applyBorder="1" applyAlignment="1" applyProtection="1">
      <alignment horizontal="center" vertical="center"/>
    </xf>
    <xf numFmtId="0" fontId="0" fillId="0" borderId="0" xfId="0" quotePrefix="1" applyBorder="1" applyAlignment="1" applyProtection="1">
      <alignment horizontal="center" vertical="center"/>
    </xf>
    <xf numFmtId="0" fontId="0" fillId="0" borderId="0" xfId="0" quotePrefix="1" applyFont="1" applyFill="1" applyBorder="1" applyAlignment="1" applyProtection="1">
      <alignment horizontal="center" vertical="center"/>
    </xf>
    <xf numFmtId="167" fontId="2" fillId="0" borderId="0" xfId="0" quotePrefix="1" applyNumberFormat="1" applyFont="1" applyProtection="1"/>
    <xf numFmtId="0" fontId="3" fillId="0" borderId="12" xfId="0" quotePrefix="1" applyFont="1" applyBorder="1" applyAlignment="1" applyProtection="1">
      <alignment horizontal="left" vertical="center" wrapText="1"/>
    </xf>
    <xf numFmtId="0" fontId="3" fillId="0" borderId="13" xfId="0" quotePrefix="1" applyFont="1" applyBorder="1" applyAlignment="1" applyProtection="1">
      <alignment horizontal="center" vertical="center" wrapText="1"/>
    </xf>
    <xf numFmtId="0" fontId="3" fillId="0" borderId="14" xfId="0" quotePrefix="1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5" xfId="0" quotePrefix="1" applyFont="1" applyBorder="1" applyAlignment="1" applyProtection="1">
      <alignment horizontal="center" vertical="center" wrapText="1"/>
    </xf>
    <xf numFmtId="0" fontId="3" fillId="0" borderId="16" xfId="0" quotePrefix="1" applyFont="1" applyBorder="1" applyAlignment="1" applyProtection="1">
      <alignment horizontal="center" vertical="center" wrapText="1"/>
    </xf>
    <xf numFmtId="165" fontId="0" fillId="0" borderId="0" xfId="0" applyNumberFormat="1" applyProtection="1"/>
    <xf numFmtId="0" fontId="0" fillId="0" borderId="10" xfId="0" applyBorder="1" applyProtection="1"/>
    <xf numFmtId="165" fontId="0" fillId="0" borderId="17" xfId="2" applyNumberFormat="1" applyFont="1" applyBorder="1" applyProtection="1"/>
    <xf numFmtId="165" fontId="0" fillId="0" borderId="18" xfId="2" applyNumberFormat="1" applyFont="1" applyBorder="1" applyProtection="1"/>
    <xf numFmtId="165" fontId="0" fillId="0" borderId="19" xfId="2" applyNumberFormat="1" applyFont="1" applyBorder="1" applyProtection="1"/>
    <xf numFmtId="165" fontId="0" fillId="0" borderId="11" xfId="2" applyNumberFormat="1" applyFont="1" applyBorder="1" applyProtection="1"/>
    <xf numFmtId="0" fontId="0" fillId="0" borderId="10" xfId="0" quotePrefix="1" applyBorder="1" applyAlignment="1" applyProtection="1">
      <alignment horizontal="left"/>
    </xf>
    <xf numFmtId="43" fontId="0" fillId="0" borderId="0" xfId="0" applyNumberFormat="1" applyBorder="1" applyProtection="1"/>
    <xf numFmtId="0" fontId="0" fillId="0" borderId="20" xfId="0" applyBorder="1" applyProtection="1"/>
    <xf numFmtId="0" fontId="9" fillId="3" borderId="21" xfId="0" quotePrefix="1" applyFont="1" applyFill="1" applyBorder="1" applyAlignment="1" applyProtection="1">
      <alignment horizontal="left" vertical="center" wrapText="1"/>
    </xf>
    <xf numFmtId="165" fontId="0" fillId="3" borderId="22" xfId="2" applyNumberFormat="1" applyFont="1" applyFill="1" applyBorder="1" applyAlignment="1" applyProtection="1">
      <alignment vertical="center"/>
    </xf>
    <xf numFmtId="165" fontId="0" fillId="3" borderId="23" xfId="2" applyNumberFormat="1" applyFont="1" applyFill="1" applyBorder="1" applyAlignment="1" applyProtection="1">
      <alignment vertical="center"/>
    </xf>
    <xf numFmtId="165" fontId="3" fillId="3" borderId="24" xfId="2" applyNumberFormat="1" applyFont="1" applyFill="1" applyBorder="1" applyAlignment="1" applyProtection="1">
      <alignment vertical="center"/>
    </xf>
    <xf numFmtId="165" fontId="3" fillId="3" borderId="25" xfId="2" applyNumberFormat="1" applyFont="1" applyFill="1" applyBorder="1" applyAlignment="1" applyProtection="1">
      <alignment vertical="center"/>
    </xf>
    <xf numFmtId="165" fontId="3" fillId="3" borderId="26" xfId="2" applyNumberFormat="1" applyFont="1" applyFill="1" applyBorder="1" applyAlignment="1" applyProtection="1">
      <alignment vertical="center"/>
    </xf>
    <xf numFmtId="0" fontId="0" fillId="0" borderId="27" xfId="0" quotePrefix="1" applyBorder="1" applyAlignment="1" applyProtection="1">
      <alignment horizontal="left"/>
    </xf>
    <xf numFmtId="0" fontId="0" fillId="0" borderId="19" xfId="0" applyBorder="1" applyProtection="1"/>
    <xf numFmtId="0" fontId="0" fillId="0" borderId="28" xfId="0" applyBorder="1" applyProtection="1"/>
    <xf numFmtId="0" fontId="9" fillId="0" borderId="21" xfId="0" quotePrefix="1" applyFont="1" applyFill="1" applyBorder="1" applyAlignment="1" applyProtection="1">
      <alignment horizontal="left" vertical="center" wrapText="1"/>
    </xf>
    <xf numFmtId="165" fontId="0" fillId="0" borderId="22" xfId="2" applyNumberFormat="1" applyFont="1" applyFill="1" applyBorder="1" applyAlignment="1" applyProtection="1">
      <alignment vertical="center"/>
    </xf>
    <xf numFmtId="165" fontId="0" fillId="0" borderId="23" xfId="2" applyNumberFormat="1" applyFont="1" applyFill="1" applyBorder="1" applyAlignment="1" applyProtection="1">
      <alignment vertical="center"/>
    </xf>
    <xf numFmtId="165" fontId="3" fillId="0" borderId="24" xfId="2" applyNumberFormat="1" applyFont="1" applyFill="1" applyBorder="1" applyAlignment="1" applyProtection="1">
      <alignment vertical="center"/>
    </xf>
    <xf numFmtId="165" fontId="3" fillId="0" borderId="25" xfId="2" applyNumberFormat="1" applyFont="1" applyFill="1" applyBorder="1" applyAlignment="1" applyProtection="1">
      <alignment vertical="center"/>
    </xf>
    <xf numFmtId="165" fontId="3" fillId="0" borderId="26" xfId="2" applyNumberFormat="1" applyFont="1" applyFill="1" applyBorder="1" applyAlignment="1" applyProtection="1">
      <alignment vertical="center"/>
    </xf>
    <xf numFmtId="166" fontId="0" fillId="0" borderId="0" xfId="1" applyNumberFormat="1" applyFont="1" applyProtection="1"/>
    <xf numFmtId="0" fontId="9" fillId="0" borderId="5" xfId="0" quotePrefix="1" applyFont="1" applyBorder="1" applyAlignment="1" applyProtection="1">
      <alignment horizontal="center" vertical="center" wrapText="1"/>
    </xf>
    <xf numFmtId="165" fontId="0" fillId="0" borderId="29" xfId="2" applyNumberFormat="1" applyFont="1" applyBorder="1" applyAlignment="1" applyProtection="1">
      <alignment vertical="center"/>
    </xf>
    <xf numFmtId="165" fontId="0" fillId="0" borderId="30" xfId="2" applyNumberFormat="1" applyFont="1" applyBorder="1" applyAlignment="1" applyProtection="1">
      <alignment vertical="center"/>
    </xf>
    <xf numFmtId="165" fontId="0" fillId="0" borderId="31" xfId="2" applyNumberFormat="1" applyFont="1" applyBorder="1" applyAlignment="1" applyProtection="1">
      <alignment vertical="center"/>
    </xf>
    <xf numFmtId="165" fontId="0" fillId="0" borderId="32" xfId="2" applyNumberFormat="1" applyFont="1" applyBorder="1" applyAlignment="1" applyProtection="1">
      <alignment vertical="center"/>
    </xf>
    <xf numFmtId="165" fontId="0" fillId="0" borderId="33" xfId="2" applyNumberFormat="1" applyFont="1" applyBorder="1" applyAlignment="1" applyProtection="1">
      <alignment vertical="center"/>
    </xf>
    <xf numFmtId="166" fontId="0" fillId="0" borderId="0" xfId="0" applyNumberFormat="1" applyProtection="1"/>
    <xf numFmtId="0" fontId="0" fillId="0" borderId="38" xfId="0" applyBorder="1" applyProtection="1"/>
    <xf numFmtId="0" fontId="0" fillId="0" borderId="39" xfId="0" applyBorder="1" applyProtection="1"/>
    <xf numFmtId="0" fontId="0" fillId="0" borderId="38" xfId="0" pivotButton="1" applyBorder="1" applyProtection="1"/>
    <xf numFmtId="0" fontId="0" fillId="0" borderId="40" xfId="0" applyBorder="1" applyProtection="1"/>
    <xf numFmtId="17" fontId="0" fillId="0" borderId="38" xfId="0" applyNumberFormat="1" applyBorder="1" applyProtection="1"/>
    <xf numFmtId="17" fontId="0" fillId="0" borderId="41" xfId="0" applyNumberFormat="1" applyBorder="1" applyProtection="1"/>
    <xf numFmtId="17" fontId="0" fillId="0" borderId="42" xfId="0" applyNumberFormat="1" applyBorder="1" applyProtection="1"/>
    <xf numFmtId="166" fontId="0" fillId="0" borderId="38" xfId="0" applyNumberFormat="1" applyBorder="1" applyProtection="1"/>
    <xf numFmtId="166" fontId="0" fillId="0" borderId="41" xfId="0" applyNumberFormat="1" applyBorder="1" applyProtection="1"/>
    <xf numFmtId="166" fontId="0" fillId="0" borderId="42" xfId="0" applyNumberFormat="1" applyBorder="1" applyProtection="1"/>
    <xf numFmtId="0" fontId="0" fillId="0" borderId="43" xfId="0" applyBorder="1" applyProtection="1"/>
    <xf numFmtId="166" fontId="0" fillId="0" borderId="43" xfId="0" applyNumberFormat="1" applyBorder="1" applyProtection="1"/>
    <xf numFmtId="166" fontId="0" fillId="0" borderId="44" xfId="0" applyNumberFormat="1" applyBorder="1" applyProtection="1"/>
    <xf numFmtId="0" fontId="0" fillId="0" borderId="45" xfId="0" applyBorder="1" applyProtection="1"/>
    <xf numFmtId="166" fontId="0" fillId="0" borderId="45" xfId="0" applyNumberFormat="1" applyBorder="1" applyProtection="1"/>
    <xf numFmtId="166" fontId="0" fillId="0" borderId="46" xfId="0" applyNumberFormat="1" applyBorder="1" applyProtection="1"/>
    <xf numFmtId="166" fontId="0" fillId="0" borderId="47" xfId="0" applyNumberFormat="1" applyBorder="1" applyProtection="1"/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164" fontId="4" fillId="0" borderId="2" xfId="0" applyNumberFormat="1" applyFont="1" applyBorder="1" applyAlignment="1" applyProtection="1">
      <alignment horizontal="center"/>
    </xf>
    <xf numFmtId="164" fontId="4" fillId="0" borderId="3" xfId="0" applyNumberFormat="1" applyFont="1" applyBorder="1" applyAlignment="1" applyProtection="1">
      <alignment horizontal="centerContinuous"/>
    </xf>
    <xf numFmtId="0" fontId="0" fillId="0" borderId="3" xfId="0" applyBorder="1" applyAlignment="1" applyProtection="1">
      <alignment horizontal="centerContinuous"/>
    </xf>
    <xf numFmtId="164" fontId="9" fillId="0" borderId="14" xfId="0" applyNumberFormat="1" applyFont="1" applyBorder="1" applyAlignment="1" applyProtection="1">
      <alignment horizontal="center" wrapText="1"/>
    </xf>
    <xf numFmtId="164" fontId="4" fillId="0" borderId="14" xfId="0" applyNumberFormat="1" applyFont="1" applyBorder="1" applyAlignment="1" applyProtection="1">
      <alignment horizontal="center" wrapText="1"/>
    </xf>
    <xf numFmtId="0" fontId="0" fillId="0" borderId="16" xfId="0" applyBorder="1" applyProtection="1"/>
    <xf numFmtId="0" fontId="21" fillId="6" borderId="0" xfId="0" applyFont="1" applyFill="1" applyProtection="1"/>
    <xf numFmtId="0" fontId="0" fillId="0" borderId="10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64" fontId="6" fillId="0" borderId="0" xfId="0" applyNumberFormat="1" applyFont="1" applyBorder="1" applyAlignment="1" applyProtection="1">
      <alignment horizontal="center"/>
    </xf>
    <xf numFmtId="167" fontId="7" fillId="6" borderId="0" xfId="0" applyNumberFormat="1" applyFont="1" applyFill="1" applyBorder="1" applyAlignment="1" applyProtection="1">
      <alignment horizontal="right"/>
    </xf>
    <xf numFmtId="10" fontId="24" fillId="0" borderId="0" xfId="4" quotePrefix="1" applyNumberFormat="1" applyFont="1" applyBorder="1" applyAlignment="1" applyProtection="1">
      <alignment horizontal="left"/>
    </xf>
    <xf numFmtId="0" fontId="0" fillId="0" borderId="11" xfId="0" applyBorder="1" applyProtection="1"/>
    <xf numFmtId="164" fontId="7" fillId="6" borderId="0" xfId="0" applyNumberFormat="1" applyFont="1" applyFill="1" applyBorder="1" applyAlignment="1" applyProtection="1">
      <alignment horizontal="right"/>
    </xf>
    <xf numFmtId="0" fontId="0" fillId="0" borderId="0" xfId="0" quotePrefix="1" applyBorder="1" applyAlignment="1" applyProtection="1">
      <alignment horizontal="center"/>
    </xf>
    <xf numFmtId="0" fontId="0" fillId="0" borderId="0" xfId="0" applyBorder="1" applyAlignment="1" applyProtection="1">
      <alignment horizontal="right"/>
    </xf>
    <xf numFmtId="0" fontId="0" fillId="0" borderId="11" xfId="0" applyBorder="1" applyAlignment="1" applyProtection="1">
      <alignment horizontal="center"/>
    </xf>
    <xf numFmtId="168" fontId="0" fillId="0" borderId="11" xfId="4" applyNumberFormat="1" applyFont="1" applyBorder="1" applyAlignment="1" applyProtection="1">
      <alignment horizontal="center"/>
    </xf>
    <xf numFmtId="168" fontId="0" fillId="0" borderId="0" xfId="4" applyNumberFormat="1" applyFont="1" applyBorder="1" applyAlignment="1" applyProtection="1">
      <alignment horizontal="center"/>
    </xf>
    <xf numFmtId="0" fontId="0" fillId="0" borderId="34" xfId="0" applyBorder="1" applyProtection="1"/>
    <xf numFmtId="164" fontId="4" fillId="0" borderId="10" xfId="0" applyNumberFormat="1" applyFont="1" applyBorder="1" applyAlignment="1" applyProtection="1">
      <alignment horizontal="center"/>
    </xf>
    <xf numFmtId="164" fontId="4" fillId="0" borderId="0" xfId="0" applyNumberFormat="1" applyFont="1" applyBorder="1" applyAlignment="1" applyProtection="1">
      <alignment horizontal="centerContinuous"/>
    </xf>
    <xf numFmtId="0" fontId="0" fillId="0" borderId="0" xfId="0" applyBorder="1" applyAlignment="1" applyProtection="1">
      <alignment horizontal="centerContinuous"/>
    </xf>
    <xf numFmtId="164" fontId="19" fillId="0" borderId="0" xfId="0" applyNumberFormat="1" applyFont="1" applyBorder="1" applyAlignment="1" applyProtection="1">
      <alignment horizontal="center" wrapText="1"/>
    </xf>
    <xf numFmtId="164" fontId="4" fillId="0" borderId="0" xfId="0" quotePrefix="1" applyNumberFormat="1" applyFont="1" applyBorder="1" applyAlignment="1" applyProtection="1">
      <alignment horizontal="center" wrapText="1"/>
    </xf>
    <xf numFmtId="164" fontId="4" fillId="0" borderId="0" xfId="0" applyNumberFormat="1" applyFont="1" applyBorder="1" applyAlignment="1" applyProtection="1">
      <alignment horizontal="center" wrapText="1"/>
    </xf>
    <xf numFmtId="167" fontId="1" fillId="0" borderId="0" xfId="0" applyNumberFormat="1" applyFont="1" applyFill="1" applyBorder="1" applyAlignment="1" applyProtection="1">
      <alignment horizontal="right"/>
    </xf>
    <xf numFmtId="168" fontId="0" fillId="0" borderId="11" xfId="0" applyNumberFormat="1" applyBorder="1" applyProtection="1"/>
    <xf numFmtId="168" fontId="0" fillId="0" borderId="0" xfId="0" applyNumberFormat="1" applyBorder="1" applyProtection="1"/>
    <xf numFmtId="164" fontId="1" fillId="0" borderId="0" xfId="0" applyNumberFormat="1" applyFont="1" applyFill="1" applyBorder="1" applyAlignment="1" applyProtection="1">
      <alignment horizontal="right"/>
    </xf>
    <xf numFmtId="0" fontId="1" fillId="0" borderId="0" xfId="0" quotePrefix="1" applyFont="1" applyBorder="1" applyAlignment="1" applyProtection="1">
      <alignment horizontal="center"/>
    </xf>
    <xf numFmtId="0" fontId="3" fillId="0" borderId="0" xfId="0" applyFont="1" applyAlignment="1" applyProtection="1">
      <alignment horizontal="left"/>
    </xf>
    <xf numFmtId="164" fontId="20" fillId="0" borderId="0" xfId="0" quotePrefix="1" applyNumberFormat="1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right"/>
    </xf>
    <xf numFmtId="0" fontId="0" fillId="0" borderId="0" xfId="0" quotePrefix="1" applyFill="1" applyBorder="1" applyAlignment="1" applyProtection="1">
      <alignment horizontal="center"/>
    </xf>
    <xf numFmtId="164" fontId="6" fillId="0" borderId="0" xfId="0" applyNumberFormat="1" applyFont="1" applyAlignment="1" applyProtection="1">
      <alignment horizontal="left"/>
    </xf>
    <xf numFmtId="0" fontId="0" fillId="0" borderId="5" xfId="0" applyBorder="1" applyAlignment="1" applyProtection="1">
      <alignment horizontal="center"/>
    </xf>
    <xf numFmtId="0" fontId="0" fillId="0" borderId="1" xfId="0" applyBorder="1" applyAlignment="1" applyProtection="1">
      <alignment horizontal="left"/>
    </xf>
    <xf numFmtId="0" fontId="0" fillId="0" borderId="1" xfId="0" applyBorder="1" applyAlignment="1" applyProtection="1">
      <alignment horizontal="center"/>
    </xf>
    <xf numFmtId="164" fontId="20" fillId="0" borderId="1" xfId="0" quotePrefix="1" applyNumberFormat="1" applyFont="1" applyFill="1" applyBorder="1" applyAlignment="1" applyProtection="1">
      <alignment horizontal="left"/>
    </xf>
    <xf numFmtId="164" fontId="1" fillId="0" borderId="1" xfId="0" applyNumberFormat="1" applyFont="1" applyFill="1" applyBorder="1" applyAlignment="1" applyProtection="1">
      <alignment horizontal="right"/>
    </xf>
    <xf numFmtId="10" fontId="1" fillId="0" borderId="1" xfId="4" quotePrefix="1" applyNumberFormat="1" applyFont="1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34" xfId="0" applyBorder="1" applyAlignment="1" applyProtection="1">
      <alignment horizontal="center"/>
    </xf>
    <xf numFmtId="0" fontId="11" fillId="0" borderId="0" xfId="0" quotePrefix="1" applyFont="1" applyAlignment="1" applyProtection="1">
      <alignment horizontal="left"/>
    </xf>
    <xf numFmtId="0" fontId="0" fillId="0" borderId="0" xfId="0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right"/>
    </xf>
    <xf numFmtId="10" fontId="0" fillId="0" borderId="0" xfId="4" applyNumberFormat="1" applyFont="1" applyAlignment="1" applyProtection="1">
      <alignment horizontal="center"/>
    </xf>
    <xf numFmtId="0" fontId="0" fillId="0" borderId="34" xfId="0" quotePrefix="1" applyBorder="1" applyAlignment="1" applyProtection="1">
      <alignment horizontal="right"/>
    </xf>
    <xf numFmtId="0" fontId="0" fillId="0" borderId="23" xfId="0" applyBorder="1" applyAlignment="1" applyProtection="1">
      <alignment horizontal="center"/>
    </xf>
    <xf numFmtId="0" fontId="1" fillId="0" borderId="23" xfId="0" applyFont="1" applyFill="1" applyBorder="1" applyAlignment="1" applyProtection="1">
      <alignment horizontal="center"/>
    </xf>
    <xf numFmtId="164" fontId="3" fillId="0" borderId="25" xfId="0" applyNumberFormat="1" applyFont="1" applyBorder="1" applyAlignment="1" applyProtection="1">
      <alignment horizontal="right"/>
    </xf>
    <xf numFmtId="167" fontId="0" fillId="0" borderId="23" xfId="0" applyNumberFormat="1" applyBorder="1" applyAlignment="1" applyProtection="1">
      <alignment horizontal="center"/>
    </xf>
    <xf numFmtId="167" fontId="0" fillId="4" borderId="25" xfId="0" applyNumberFormat="1" applyFill="1" applyBorder="1" applyAlignment="1" applyProtection="1">
      <alignment horizontal="center"/>
    </xf>
    <xf numFmtId="167" fontId="0" fillId="0" borderId="35" xfId="0" applyNumberFormat="1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164" fontId="3" fillId="0" borderId="28" xfId="0" applyNumberFormat="1" applyFont="1" applyBorder="1" applyAlignment="1" applyProtection="1">
      <alignment horizontal="right"/>
    </xf>
    <xf numFmtId="14" fontId="1" fillId="0" borderId="17" xfId="0" quotePrefix="1" applyNumberFormat="1" applyFont="1" applyFill="1" applyBorder="1" applyAlignment="1" applyProtection="1">
      <alignment horizontal="left"/>
    </xf>
    <xf numFmtId="164" fontId="5" fillId="0" borderId="0" xfId="0" applyNumberFormat="1" applyFont="1" applyBorder="1" applyAlignment="1" applyProtection="1">
      <alignment horizontal="center"/>
    </xf>
    <xf numFmtId="164" fontId="5" fillId="0" borderId="34" xfId="0" applyNumberFormat="1" applyFont="1" applyBorder="1" applyAlignment="1" applyProtection="1">
      <alignment horizontal="right"/>
    </xf>
    <xf numFmtId="0" fontId="1" fillId="0" borderId="0" xfId="0" quotePrefix="1" applyFont="1" applyAlignment="1" applyProtection="1">
      <alignment horizontal="left"/>
    </xf>
    <xf numFmtId="166" fontId="1" fillId="0" borderId="0" xfId="1" applyNumberFormat="1" applyFont="1" applyFill="1" applyAlignment="1" applyProtection="1">
      <alignment horizontal="right"/>
    </xf>
    <xf numFmtId="166" fontId="1" fillId="0" borderId="0" xfId="1" quotePrefix="1" applyNumberFormat="1" applyFont="1" applyFill="1" applyAlignment="1" applyProtection="1">
      <alignment horizontal="left"/>
    </xf>
    <xf numFmtId="164" fontId="5" fillId="0" borderId="34" xfId="0" applyNumberFormat="1" applyFont="1" applyBorder="1" applyAlignment="1" applyProtection="1">
      <alignment horizontal="center"/>
    </xf>
    <xf numFmtId="14" fontId="0" fillId="0" borderId="17" xfId="0" quotePrefix="1" applyNumberFormat="1" applyFill="1" applyBorder="1" applyAlignment="1" applyProtection="1">
      <alignment horizontal="left"/>
    </xf>
    <xf numFmtId="44" fontId="5" fillId="0" borderId="0" xfId="2" applyNumberFormat="1" applyFont="1" applyAlignment="1" applyProtection="1">
      <alignment horizontal="center"/>
    </xf>
    <xf numFmtId="9" fontId="1" fillId="0" borderId="0" xfId="4" applyFont="1" applyAlignment="1" applyProtection="1">
      <alignment horizontal="center"/>
    </xf>
    <xf numFmtId="44" fontId="5" fillId="0" borderId="0" xfId="2" applyFont="1" applyAlignment="1" applyProtection="1">
      <alignment horizontal="center"/>
    </xf>
    <xf numFmtId="44" fontId="5" fillId="0" borderId="34" xfId="2" applyFont="1" applyBorder="1" applyAlignment="1" applyProtection="1">
      <alignment horizontal="center"/>
    </xf>
    <xf numFmtId="165" fontId="1" fillId="0" borderId="0" xfId="2" applyNumberFormat="1" applyFont="1" applyAlignment="1" applyProtection="1">
      <alignment horizontal="center"/>
    </xf>
    <xf numFmtId="0" fontId="4" fillId="0" borderId="0" xfId="0" quotePrefix="1" applyFont="1" applyBorder="1" applyAlignment="1" applyProtection="1">
      <alignment horizontal="center"/>
    </xf>
    <xf numFmtId="0" fontId="4" fillId="0" borderId="36" xfId="0" quotePrefix="1" applyFont="1" applyBorder="1" applyAlignment="1" applyProtection="1">
      <alignment horizontal="center"/>
    </xf>
    <xf numFmtId="164" fontId="4" fillId="0" borderId="22" xfId="0" quotePrefix="1" applyNumberFormat="1" applyFont="1" applyBorder="1" applyAlignment="1" applyProtection="1">
      <alignment horizontal="center" vertical="center" wrapText="1"/>
    </xf>
    <xf numFmtId="164" fontId="4" fillId="0" borderId="23" xfId="0" quotePrefix="1" applyNumberFormat="1" applyFont="1" applyBorder="1" applyAlignment="1" applyProtection="1">
      <alignment horizontal="center" vertical="center" wrapText="1"/>
    </xf>
    <xf numFmtId="0" fontId="4" fillId="0" borderId="23" xfId="0" applyFont="1" applyBorder="1" applyAlignment="1" applyProtection="1">
      <alignment horizontal="left" vertical="center"/>
    </xf>
    <xf numFmtId="0" fontId="4" fillId="0" borderId="23" xfId="0" quotePrefix="1" applyFont="1" applyBorder="1" applyAlignment="1" applyProtection="1">
      <alignment horizontal="center" vertical="center"/>
    </xf>
    <xf numFmtId="0" fontId="4" fillId="0" borderId="23" xfId="0" quotePrefix="1" applyFont="1" applyBorder="1" applyAlignment="1" applyProtection="1">
      <alignment horizontal="center" vertical="center" wrapText="1"/>
    </xf>
    <xf numFmtId="164" fontId="4" fillId="5" borderId="23" xfId="0" quotePrefix="1" applyNumberFormat="1" applyFont="1" applyFill="1" applyBorder="1" applyAlignment="1" applyProtection="1">
      <alignment horizontal="center" vertical="center" wrapText="1"/>
    </xf>
    <xf numFmtId="164" fontId="4" fillId="0" borderId="23" xfId="0" applyNumberFormat="1" applyFont="1" applyBorder="1" applyAlignment="1" applyProtection="1">
      <alignment horizontal="center" vertical="center" wrapText="1"/>
    </xf>
    <xf numFmtId="164" fontId="4" fillId="0" borderId="35" xfId="0" applyNumberFormat="1" applyFont="1" applyBorder="1" applyAlignment="1" applyProtection="1">
      <alignment horizontal="center" vertical="center" wrapText="1"/>
    </xf>
    <xf numFmtId="164" fontId="4" fillId="0" borderId="36" xfId="0" applyNumberFormat="1" applyFont="1" applyBorder="1" applyAlignment="1" applyProtection="1">
      <alignment horizontal="center" vertical="center" wrapText="1"/>
    </xf>
    <xf numFmtId="164" fontId="4" fillId="0" borderId="28" xfId="0" applyNumberFormat="1" applyFont="1" applyBorder="1" applyAlignment="1" applyProtection="1">
      <alignment horizontal="center" vertical="center" wrapText="1"/>
    </xf>
    <xf numFmtId="17" fontId="0" fillId="0" borderId="0" xfId="0" applyNumberFormat="1" applyBorder="1" applyAlignment="1" applyProtection="1">
      <alignment horizontal="center"/>
    </xf>
    <xf numFmtId="14" fontId="7" fillId="6" borderId="0" xfId="3" applyNumberFormat="1" applyFont="1" applyFill="1" applyBorder="1" applyProtection="1"/>
    <xf numFmtId="14" fontId="7" fillId="2" borderId="0" xfId="0" applyNumberFormat="1" applyFont="1" applyFill="1" applyBorder="1" applyAlignment="1" applyProtection="1">
      <alignment horizontal="left"/>
    </xf>
    <xf numFmtId="1" fontId="8" fillId="6" borderId="0" xfId="0" applyNumberFormat="1" applyFont="1" applyFill="1" applyBorder="1" applyAlignment="1" applyProtection="1">
      <alignment horizontal="center"/>
    </xf>
    <xf numFmtId="164" fontId="6" fillId="0" borderId="0" xfId="0" applyNumberFormat="1" applyFont="1" applyBorder="1" applyProtection="1"/>
    <xf numFmtId="164" fontId="1" fillId="0" borderId="0" xfId="0" applyNumberFormat="1" applyFont="1" applyAlignment="1" applyProtection="1">
      <alignment horizontal="right"/>
    </xf>
    <xf numFmtId="164" fontId="0" fillId="0" borderId="0" xfId="0" applyNumberFormat="1" applyBorder="1" applyAlignment="1" applyProtection="1"/>
    <xf numFmtId="164" fontId="1" fillId="0" borderId="0" xfId="0" applyNumberFormat="1" applyFont="1" applyAlignment="1" applyProtection="1"/>
    <xf numFmtId="164" fontId="1" fillId="0" borderId="0" xfId="0" applyNumberFormat="1" applyFont="1" applyBorder="1" applyAlignment="1" applyProtection="1">
      <alignment horizontal="right"/>
    </xf>
    <xf numFmtId="164" fontId="0" fillId="0" borderId="19" xfId="0" applyNumberFormat="1" applyBorder="1" applyAlignment="1" applyProtection="1">
      <alignment horizontal="right"/>
    </xf>
    <xf numFmtId="14" fontId="0" fillId="0" borderId="0" xfId="0" quotePrefix="1" applyNumberFormat="1" applyBorder="1" applyAlignment="1" applyProtection="1">
      <alignment horizontal="left"/>
    </xf>
    <xf numFmtId="164" fontId="1" fillId="0" borderId="0" xfId="0" applyNumberFormat="1" applyFont="1" applyFill="1" applyBorder="1" applyAlignment="1" applyProtection="1"/>
    <xf numFmtId="164" fontId="0" fillId="0" borderId="0" xfId="0" applyNumberFormat="1" applyFill="1" applyBorder="1" applyAlignment="1" applyProtection="1"/>
    <xf numFmtId="14" fontId="7" fillId="2" borderId="8" xfId="3" applyNumberFormat="1" applyFont="1" applyFill="1" applyBorder="1" applyProtection="1"/>
    <xf numFmtId="14" fontId="7" fillId="6" borderId="8" xfId="3" applyNumberFormat="1" applyFont="1" applyFill="1" applyBorder="1" applyProtection="1"/>
    <xf numFmtId="1" fontId="8" fillId="6" borderId="8" xfId="0" applyNumberFormat="1" applyFont="1" applyFill="1" applyBorder="1" applyAlignment="1" applyProtection="1">
      <alignment horizontal="center"/>
    </xf>
    <xf numFmtId="164" fontId="6" fillId="0" borderId="8" xfId="0" applyNumberFormat="1" applyFont="1" applyBorder="1" applyProtection="1"/>
    <xf numFmtId="164" fontId="1" fillId="0" borderId="8" xfId="0" applyNumberFormat="1" applyFont="1" applyBorder="1" applyAlignment="1" applyProtection="1">
      <alignment horizontal="right"/>
    </xf>
    <xf numFmtId="164" fontId="0" fillId="0" borderId="8" xfId="0" applyNumberFormat="1" applyFill="1" applyBorder="1" applyAlignment="1" applyProtection="1"/>
    <xf numFmtId="164" fontId="1" fillId="0" borderId="8" xfId="0" applyNumberFormat="1" applyFont="1" applyFill="1" applyBorder="1" applyAlignment="1" applyProtection="1"/>
    <xf numFmtId="17" fontId="0" fillId="0" borderId="37" xfId="0" applyNumberFormat="1" applyBorder="1" applyAlignment="1" applyProtection="1">
      <alignment horizontal="center"/>
    </xf>
    <xf numFmtId="14" fontId="1" fillId="0" borderId="37" xfId="0" applyNumberFormat="1" applyFont="1" applyFill="1" applyBorder="1" applyProtection="1"/>
    <xf numFmtId="14" fontId="7" fillId="2" borderId="37" xfId="0" applyNumberFormat="1" applyFont="1" applyFill="1" applyBorder="1" applyAlignment="1" applyProtection="1">
      <alignment horizontal="left"/>
    </xf>
    <xf numFmtId="0" fontId="0" fillId="0" borderId="37" xfId="0" applyBorder="1" applyAlignment="1" applyProtection="1">
      <alignment horizontal="center"/>
    </xf>
    <xf numFmtId="14" fontId="1" fillId="0" borderId="0" xfId="0" applyNumberFormat="1" applyFont="1" applyFill="1" applyBorder="1" applyProtection="1"/>
    <xf numFmtId="0" fontId="0" fillId="0" borderId="37" xfId="0" applyBorder="1" applyProtection="1"/>
    <xf numFmtId="17" fontId="0" fillId="0" borderId="8" xfId="0" applyNumberFormat="1" applyBorder="1" applyAlignment="1" applyProtection="1">
      <alignment horizontal="center"/>
    </xf>
    <xf numFmtId="0" fontId="0" fillId="0" borderId="8" xfId="0" quotePrefix="1" applyBorder="1" applyAlignment="1" applyProtection="1">
      <alignment horizontal="left"/>
    </xf>
    <xf numFmtId="0" fontId="0" fillId="0" borderId="8" xfId="0" applyBorder="1" applyProtection="1"/>
    <xf numFmtId="14" fontId="1" fillId="0" borderId="8" xfId="0" applyNumberFormat="1" applyFont="1" applyFill="1" applyBorder="1" applyProtection="1"/>
    <xf numFmtId="14" fontId="0" fillId="0" borderId="8" xfId="0" quotePrefix="1" applyNumberFormat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0" fontId="1" fillId="0" borderId="8" xfId="0" applyFont="1" applyFill="1" applyBorder="1" applyAlignment="1" applyProtection="1">
      <alignment horizontal="left"/>
    </xf>
    <xf numFmtId="1" fontId="0" fillId="0" borderId="0" xfId="0" applyNumberFormat="1" applyAlignment="1" applyProtection="1">
      <alignment horizontal="center"/>
    </xf>
    <xf numFmtId="164" fontId="0" fillId="0" borderId="19" xfId="0" applyNumberForma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48" xfId="0" applyBorder="1" applyProtection="1"/>
    <xf numFmtId="0" fontId="0" fillId="0" borderId="49" xfId="0" applyBorder="1" applyProtection="1"/>
    <xf numFmtId="0" fontId="0" fillId="0" borderId="0" xfId="0" quotePrefix="1" applyBorder="1" applyAlignment="1" applyProtection="1">
      <alignment horizontal="center"/>
    </xf>
    <xf numFmtId="166" fontId="0" fillId="0" borderId="0" xfId="0" applyNumberFormat="1" applyFill="1" applyBorder="1" applyProtection="1"/>
    <xf numFmtId="167" fontId="7" fillId="6" borderId="25" xfId="0" applyNumberFormat="1" applyFont="1" applyFill="1" applyBorder="1" applyAlignment="1" applyProtection="1">
      <alignment horizontal="center"/>
    </xf>
    <xf numFmtId="164" fontId="0" fillId="0" borderId="28" xfId="0" applyNumberFormat="1" applyBorder="1" applyAlignment="1" applyProtection="1">
      <alignment horizontal="right"/>
    </xf>
    <xf numFmtId="164" fontId="4" fillId="0" borderId="14" xfId="0" quotePrefix="1" applyNumberFormat="1" applyFont="1" applyFill="1" applyBorder="1" applyAlignment="1" applyProtection="1">
      <alignment horizontal="center" wrapText="1"/>
    </xf>
    <xf numFmtId="164" fontId="5" fillId="0" borderId="0" xfId="0" applyNumberFormat="1" applyFont="1" applyFill="1" applyBorder="1" applyAlignment="1" applyProtection="1">
      <alignment horizontal="center"/>
    </xf>
    <xf numFmtId="0" fontId="4" fillId="0" borderId="23" xfId="0" applyFont="1" applyFill="1" applyBorder="1" applyAlignment="1" applyProtection="1">
      <alignment horizontal="center" vertical="center"/>
    </xf>
    <xf numFmtId="166" fontId="14" fillId="0" borderId="43" xfId="0" applyNumberFormat="1" applyFont="1" applyBorder="1" applyProtection="1"/>
    <xf numFmtId="166" fontId="14" fillId="0" borderId="0" xfId="0" applyNumberFormat="1" applyFont="1" applyProtection="1"/>
    <xf numFmtId="166" fontId="14" fillId="0" borderId="44" xfId="0" applyNumberFormat="1" applyFont="1" applyBorder="1" applyProtection="1"/>
    <xf numFmtId="166" fontId="14" fillId="0" borderId="38" xfId="0" applyNumberFormat="1" applyFont="1" applyBorder="1" applyProtection="1"/>
    <xf numFmtId="166" fontId="14" fillId="0" borderId="41" xfId="0" applyNumberFormat="1" applyFont="1" applyBorder="1" applyProtection="1"/>
    <xf numFmtId="166" fontId="14" fillId="0" borderId="42" xfId="0" applyNumberFormat="1" applyFont="1" applyBorder="1" applyProtection="1"/>
    <xf numFmtId="0" fontId="3" fillId="0" borderId="0" xfId="0" quotePrefix="1" applyFont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quotePrefix="1" applyBorder="1" applyAlignment="1" applyProtection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3" xr:uid="{00000000-0005-0000-0000-000003000000}"/>
    <cellStyle name="Percent" xfId="4" builtinId="5"/>
  </cellStyles>
  <dxfs count="171"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numFmt numFmtId="166" formatCode="_(* #,##0_);_(* \(#,##0\);_(* &quot;-&quot;??_);_(@_)"/>
    </dxf>
    <dxf>
      <numFmt numFmtId="35" formatCode="_(* #,##0.00_);_(* \(#,##0.00\);_(* &quot;-&quot;??_);_(@_)"/>
    </dxf>
    <dxf>
      <numFmt numFmtId="2" formatCode="0.00"/>
    </dxf>
    <dxf>
      <numFmt numFmtId="2" formatCode="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</dxf>
    <dxf>
      <numFmt numFmtId="164" formatCode="&quot;$&quot;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177040" refreshedDate="44710.801808680553" createdVersion="6" refreshedVersion="7" recordCount="192" xr:uid="{00000000-000A-0000-FFFF-FFFFE6000000}">
  <cacheSource type="worksheet">
    <worksheetSource ref="B19:R211" sheet="Transactions"/>
  </cacheSource>
  <cacheFields count="17">
    <cacheField name="Serivce Month" numFmtId="17">
      <sharedItems containsSemiMixedTypes="0" containsNonDate="0" containsDate="1" containsString="0" minDate="2010-01-01T00:00:00" maxDate="2021-12-02T00:00:00" count="144"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13-05-01T00:00:00" u="1"/>
        <d v="2014-05-01T00:00:00" u="1"/>
        <d v="2015-05-01T00:00:00" u="1"/>
        <d v="2016-05-01T00:00:00" u="1"/>
        <d v="2017-05-01T00:00:00" u="1"/>
        <d v="2018-05-01T00:00:00" u="1"/>
        <d v="2019-05-01T00:00:00" u="1"/>
        <d v="2020-05-01T00:00:00" u="1"/>
        <d v="2010-11-01T00:00:00" u="1"/>
        <d v="2011-11-01T00:00:00" u="1"/>
        <d v="2012-11-01T00:00:00" u="1"/>
        <d v="2013-11-01T00:00:00" u="1"/>
        <d v="2014-11-01T00:00:00" u="1"/>
        <d v="2015-11-01T00:00:00" u="1"/>
        <d v="2016-11-01T00:00:00" u="1"/>
        <d v="2017-11-01T00:00:00" u="1"/>
        <d v="2018-11-01T00:00:00" u="1"/>
        <d v="2019-11-01T00:00:00" u="1"/>
        <d v="2020-11-01T00:00:00" u="1"/>
        <d v="2010-06-01T00:00:00" u="1"/>
        <d v="2011-06-01T00:00:00" u="1"/>
        <d v="2012-06-01T00:00:00" u="1"/>
        <d v="2013-06-01T00:00:00" u="1"/>
        <d v="2014-06-01T00:00:00" u="1"/>
        <d v="2015-06-01T00:00:00" u="1"/>
        <d v="2016-06-01T00:00:00" u="1"/>
        <d v="2017-06-01T00:00:00" u="1"/>
        <d v="2018-06-01T00:00:00" u="1"/>
        <d v="2019-06-01T00:00:00" u="1"/>
        <d v="2020-06-01T00:00:00" u="1"/>
        <d v="2010-12-01T00:00:00" u="1"/>
        <d v="2011-12-01T00:00:00" u="1"/>
        <d v="2012-12-01T00:00:00" u="1"/>
        <d v="2013-12-01T00:00:00" u="1"/>
        <d v="2014-12-01T00:00:00" u="1"/>
        <d v="2015-12-01T00:00:00" u="1"/>
        <d v="2016-12-01T00:00:00" u="1"/>
        <d v="2017-12-01T00:00:00" u="1"/>
        <d v="2018-12-01T00:00:00" u="1"/>
        <d v="2019-12-01T00:00:00" u="1"/>
        <d v="2020-12-01T00:00:00" u="1"/>
        <d v="2010-01-01T00:00:00" u="1"/>
        <d v="2011-01-01T00:00:00" u="1"/>
        <d v="2012-01-01T00:00:00" u="1"/>
        <d v="2013-01-01T00:00:00" u="1"/>
        <d v="2014-01-01T00:00:00" u="1"/>
        <d v="2015-01-01T00:00:00" u="1"/>
        <d v="2016-01-01T00:00:00" u="1"/>
        <d v="2017-01-01T00:00:00" u="1"/>
        <d v="2018-01-01T00:00:00" u="1"/>
        <d v="2019-01-01T00:00:00" u="1"/>
        <d v="2020-01-01T00:00:00" u="1"/>
        <d v="2010-07-01T00:00:00" u="1"/>
        <d v="2011-07-01T00:00:00" u="1"/>
        <d v="2012-07-01T00:00:00" u="1"/>
        <d v="2013-07-01T00:00:00" u="1"/>
        <d v="2014-07-01T00:00:00" u="1"/>
        <d v="2015-07-01T00:00:00" u="1"/>
        <d v="2016-07-01T00:00:00" u="1"/>
        <d v="2017-07-01T00:00:00" u="1"/>
        <d v="2018-07-01T00:00:00" u="1"/>
        <d v="2019-07-01T00:00:00" u="1"/>
        <d v="2020-07-01T00:00:00" u="1"/>
        <d v="2010-02-01T00:00:00" u="1"/>
        <d v="2011-02-01T00:00:00" u="1"/>
        <d v="2012-02-01T00:00:00" u="1"/>
        <d v="2013-02-01T00:00:00" u="1"/>
        <d v="2014-02-01T00:00:00" u="1"/>
        <d v="2015-02-01T00:00:00" u="1"/>
        <d v="2016-02-01T00:00:00" u="1"/>
        <d v="2017-02-01T00:00:00" u="1"/>
        <d v="2018-02-01T00:00:00" u="1"/>
        <d v="2019-02-01T00:00:00" u="1"/>
        <d v="2020-02-01T00:00:00" u="1"/>
        <d v="2010-08-01T00:00:00" u="1"/>
        <d v="2011-08-01T00:00:00" u="1"/>
        <d v="2012-08-01T00:00:00" u="1"/>
        <d v="2013-08-01T00:00:00" u="1"/>
        <d v="2014-08-01T00:00:00" u="1"/>
        <d v="2015-08-01T00:00:00" u="1"/>
        <d v="2016-08-01T00:00:00" u="1"/>
        <d v="2017-08-01T00:00:00" u="1"/>
        <d v="2018-08-01T00:00:00" u="1"/>
        <d v="2019-08-01T00:00:00" u="1"/>
        <d v="2020-08-01T00:00:00" u="1"/>
        <d v="2010-03-01T00:00:00" u="1"/>
        <d v="2011-03-01T00:00:00" u="1"/>
        <d v="2012-03-01T00:00:00" u="1"/>
        <d v="2013-03-01T00:00:00" u="1"/>
        <d v="2014-03-01T00:00:00" u="1"/>
        <d v="2015-03-01T00:00:00" u="1"/>
        <d v="2016-03-01T00:00:00" u="1"/>
        <d v="2017-03-01T00:00:00" u="1"/>
        <d v="2018-03-01T00:00:00" u="1"/>
        <d v="2019-03-01T00:00:00" u="1"/>
        <d v="2020-03-01T00:00:00" u="1"/>
        <d v="2010-09-01T00:00:00" u="1"/>
        <d v="2011-09-01T00:00:00" u="1"/>
        <d v="2012-09-01T00:00:00" u="1"/>
        <d v="2013-09-01T00:00:00" u="1"/>
        <d v="2014-09-01T00:00:00" u="1"/>
        <d v="2015-09-01T00:00:00" u="1"/>
        <d v="2016-09-01T00:00:00" u="1"/>
        <d v="2017-09-01T00:00:00" u="1"/>
        <d v="2018-09-01T00:00:00" u="1"/>
        <d v="2019-09-01T00:00:00" u="1"/>
        <d v="2020-09-01T00:00:00" u="1"/>
        <d v="2010-04-01T00:00:00" u="1"/>
        <d v="2011-04-01T00:00:00" u="1"/>
        <d v="2012-04-01T00:00:00" u="1"/>
        <d v="2013-04-01T00:00:00" u="1"/>
        <d v="2014-04-01T00:00:00" u="1"/>
        <d v="2015-04-01T00:00:00" u="1"/>
        <d v="2016-04-01T00:00:00" u="1"/>
        <d v="2017-04-01T00:00:00" u="1"/>
        <d v="2018-04-01T00:00:00" u="1"/>
        <d v="2019-04-01T00:00:00" u="1"/>
        <d v="2020-04-01T00:00:00" u="1"/>
        <d v="2010-10-01T00:00:00" u="1"/>
        <d v="2011-10-01T00:00:00" u="1"/>
        <d v="2012-10-01T00:00:00" u="1"/>
        <d v="2013-10-01T00:00:00" u="1"/>
        <d v="2014-10-01T00:00:00" u="1"/>
        <d v="2015-10-01T00:00:00" u="1"/>
        <d v="2016-10-01T00:00:00" u="1"/>
        <d v="2017-10-01T00:00:00" u="1"/>
        <d v="2018-10-01T00:00:00" u="1"/>
        <d v="2019-10-01T00:00:00" u="1"/>
        <d v="2020-10-01T00:00:00" u="1"/>
        <d v="2010-05-01T00:00:00" u="1"/>
        <d v="2011-05-01T00:00:00" u="1"/>
        <d v="2012-05-01T00:00:00" u="1"/>
      </sharedItems>
    </cacheField>
    <cacheField name="Billing_x000a_Date*" numFmtId="14">
      <sharedItems containsSemiMixedTypes="0" containsNonDate="0" containsDate="1" containsString="0" minDate="2021-02-03T00:00:00" maxDate="2022-01-06T00:00:00"/>
    </cacheField>
    <cacheField name="Payment Received*" numFmtId="14">
      <sharedItems containsSemiMixedTypes="0" containsNonDate="0" containsDate="1" containsString="0" minDate="2021-02-24T00:00:00" maxDate="2022-01-25T00:00:00"/>
    </cacheField>
    <cacheField name="Customer" numFmtId="0">
      <sharedItems count="22">
        <s v="PSO"/>
        <s v="SWEPCO"/>
        <s v="SWEPCO-Valley"/>
        <s v="AECC"/>
        <s v="AECI"/>
        <s v="WFEC"/>
        <s v="OMPA"/>
        <s v="OG&amp;E"/>
        <s v="ETEC"/>
        <s v="Greenbelt"/>
        <s v="Lighthouse"/>
        <s v="Bentonville, AR"/>
        <s v="Prescott, AR"/>
        <s v="Minden, LA"/>
        <s v="Hope, AR"/>
        <s v="Coffeyville, KS"/>
        <s v="Bentonville" u="1"/>
        <s v="Hope" u="1"/>
        <s v="NTEC" u="1"/>
        <s v="TEXLA" u="1"/>
        <s v="Prescott" u="1"/>
        <s v="Minden" u="1"/>
      </sharedItems>
    </cacheField>
    <cacheField name="Sched." numFmtId="0">
      <sharedItems containsSemiMixedTypes="0" containsString="0" containsNumber="1" containsInteger="1" minValue="9" maxValue="9"/>
    </cacheField>
    <cacheField name="MW" numFmtId="1">
      <sharedItems containsSemiMixedTypes="0" containsString="0" containsNumber="1" containsInteger="1" minValue="1" maxValue="4029"/>
    </cacheField>
    <cacheField name="Projected Rate (as Invoiced)" numFmtId="164">
      <sharedItems containsSemiMixedTypes="0" containsString="0" containsNumber="1" minValue="870.64" maxValue="870.64"/>
    </cacheField>
    <cacheField name="Actual True-Up Rate" numFmtId="164">
      <sharedItems containsSemiMixedTypes="0" containsString="0" containsNumber="1" minValue="888.73" maxValue="888.73"/>
    </cacheField>
    <cacheField name="True-Up Charge" numFmtId="164">
      <sharedItems containsSemiMixedTypes="0" containsString="0" containsNumber="1" minValue="888.73" maxValue="3580693.17"/>
    </cacheField>
    <cacheField name="Invoiced*** Charge (proj.)" numFmtId="164">
      <sharedItems containsSemiMixedTypes="0" containsString="0" containsNumber="1" minValue="870.64" maxValue="3507808.56"/>
    </cacheField>
    <cacheField name="True-Up w/o Interest" numFmtId="164">
      <sharedItems containsSemiMixedTypes="0" containsString="0" containsNumber="1" minValue="18.090000000000032" maxValue="72884.60999999987"/>
    </cacheField>
    <cacheField name="Interest" numFmtId="164">
      <sharedItems containsSemiMixedTypes="0" containsString="0" containsNumber="1" minValue="0.57721154654926676" maxValue="2325.5853210469959"/>
    </cacheField>
    <cacheField name="2020 True Up Including Interest" numFmtId="164">
      <sharedItems containsSemiMixedTypes="0" containsString="0" containsNumber="1" minValue="18.6672115465493" maxValue="75210.195321046864"/>
    </cacheField>
    <cacheField name="Tax Rebilling Rate" numFmtId="164">
      <sharedItems containsSemiMixedTypes="0" containsString="0" containsNumber="1" containsInteger="1" minValue="0" maxValue="0"/>
    </cacheField>
    <cacheField name="Tax True Up Billing" numFmtId="164">
      <sharedItems containsSemiMixedTypes="0" containsString="0" containsNumber="1" containsInteger="1" minValue="0" maxValue="0"/>
    </cacheField>
    <cacheField name="Tax True Up" numFmtId="164">
      <sharedItems containsSemiMixedTypes="0" containsString="0" containsNumber="1" containsInteger="1" minValue="0" maxValue="0"/>
    </cacheField>
    <cacheField name="Total True-up" numFmtId="164">
      <sharedItems containsSemiMixedTypes="0" containsString="0" containsNumber="1" minValue="18.6672115465493" maxValue="75210.19532104686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2">
  <r>
    <x v="0"/>
    <d v="2021-02-03T00:00:00"/>
    <d v="2021-02-24T00:00:00"/>
    <x v="0"/>
    <n v="9"/>
    <n v="2536"/>
    <n v="870.64"/>
    <n v="888.73"/>
    <n v="2253819.2800000003"/>
    <n v="2207943.04"/>
    <n v="45876.240000000224"/>
    <n v="1463.8084820489405"/>
    <n v="47340.048482049162"/>
    <n v="0"/>
    <n v="0"/>
    <n v="0"/>
    <n v="47340.048482049162"/>
  </r>
  <r>
    <x v="1"/>
    <d v="2021-03-03T00:00:00"/>
    <d v="2021-03-24T00:00:00"/>
    <x v="0"/>
    <n v="9"/>
    <n v="2976"/>
    <n v="870.64"/>
    <n v="888.73"/>
    <n v="2644860.48"/>
    <n v="2591024.64"/>
    <n v="53835.839999999851"/>
    <n v="1717.7815625306177"/>
    <n v="55553.621562530469"/>
    <n v="0"/>
    <n v="0"/>
    <n v="0"/>
    <n v="55553.621562530469"/>
  </r>
  <r>
    <x v="2"/>
    <d v="2021-04-05T00:00:00"/>
    <d v="2021-04-26T00:00:00"/>
    <x v="0"/>
    <n v="9"/>
    <n v="2203"/>
    <n v="870.64"/>
    <n v="888.73"/>
    <n v="1957872.19"/>
    <n v="1918019.92"/>
    <n v="39852.270000000019"/>
    <n v="1271.5970370480347"/>
    <n v="41123.867037048054"/>
    <n v="0"/>
    <n v="0"/>
    <n v="0"/>
    <n v="41123.867037048054"/>
  </r>
  <r>
    <x v="3"/>
    <d v="2021-05-05T00:00:00"/>
    <d v="2021-05-24T00:00:00"/>
    <x v="0"/>
    <n v="9"/>
    <n v="2146"/>
    <n v="870.64"/>
    <n v="888.73"/>
    <n v="1907214.58"/>
    <n v="1868393.44"/>
    <n v="38821.14000000013"/>
    <n v="1238.6959788947265"/>
    <n v="40059.835978894858"/>
    <n v="0"/>
    <n v="0"/>
    <n v="0"/>
    <n v="40059.835978894858"/>
  </r>
  <r>
    <x v="4"/>
    <d v="2021-06-03T00:00:00"/>
    <d v="2021-06-24T00:00:00"/>
    <x v="0"/>
    <n v="9"/>
    <n v="2961"/>
    <n v="870.64"/>
    <n v="888.73"/>
    <n v="2631529.5300000003"/>
    <n v="2577965.04"/>
    <n v="53564.490000000224"/>
    <n v="1709.1233893323788"/>
    <n v="55273.613389332604"/>
    <n v="0"/>
    <n v="0"/>
    <n v="0"/>
    <n v="55273.613389332604"/>
  </r>
  <r>
    <x v="5"/>
    <d v="2021-07-06T00:00:00"/>
    <d v="2021-07-24T00:00:00"/>
    <x v="0"/>
    <n v="9"/>
    <n v="3827"/>
    <n v="870.64"/>
    <n v="888.73"/>
    <n v="3401169.71"/>
    <n v="3331939.28"/>
    <n v="69230.430000000168"/>
    <n v="2208.9885886440438"/>
    <n v="71439.418588644214"/>
    <n v="0"/>
    <n v="0"/>
    <n v="0"/>
    <n v="71439.418588644214"/>
  </r>
  <r>
    <x v="6"/>
    <d v="2021-08-04T00:00:00"/>
    <d v="2021-08-24T00:00:00"/>
    <x v="0"/>
    <n v="9"/>
    <n v="3938"/>
    <n v="870.64"/>
    <n v="888.73"/>
    <n v="3499818.74"/>
    <n v="3428580.32"/>
    <n v="71238.420000000391"/>
    <n v="2273.0590703110124"/>
    <n v="73511.479070311398"/>
    <n v="0"/>
    <n v="0"/>
    <n v="0"/>
    <n v="73511.479070311398"/>
  </r>
  <r>
    <x v="7"/>
    <d v="2021-09-03T00:00:00"/>
    <d v="2021-09-24T00:00:00"/>
    <x v="0"/>
    <n v="9"/>
    <n v="4002"/>
    <n v="870.64"/>
    <n v="888.73"/>
    <n v="3556697.46"/>
    <n v="3484301.28"/>
    <n v="72396.180000000168"/>
    <n v="2310.0006092901654"/>
    <n v="74706.180609290328"/>
    <n v="0"/>
    <n v="0"/>
    <n v="0"/>
    <n v="74706.180609290328"/>
  </r>
  <r>
    <x v="8"/>
    <d v="2021-10-05T00:00:00"/>
    <d v="2021-10-25T00:00:00"/>
    <x v="0"/>
    <n v="9"/>
    <n v="4029"/>
    <n v="870.64"/>
    <n v="888.73"/>
    <n v="3580693.17"/>
    <n v="3507808.56"/>
    <n v="72884.60999999987"/>
    <n v="2325.5853210469959"/>
    <n v="75210.195321046864"/>
    <n v="0"/>
    <n v="0"/>
    <n v="0"/>
    <n v="75210.195321046864"/>
  </r>
  <r>
    <x v="9"/>
    <d v="2021-11-03T00:00:00"/>
    <d v="2021-11-24T00:00:00"/>
    <x v="0"/>
    <n v="9"/>
    <n v="3123"/>
    <n v="870.64"/>
    <n v="888.73"/>
    <n v="2775503.79"/>
    <n v="2719008.7199999997"/>
    <n v="56495.070000000298"/>
    <n v="1802.6316598733601"/>
    <n v="58297.701659873659"/>
    <n v="0"/>
    <n v="0"/>
    <n v="0"/>
    <n v="58297.701659873659"/>
  </r>
  <r>
    <x v="10"/>
    <d v="2021-12-03T00:00:00"/>
    <d v="2021-12-27T00:00:00"/>
    <x v="0"/>
    <n v="9"/>
    <n v="2263"/>
    <n v="870.64"/>
    <n v="888.73"/>
    <n v="2011195.99"/>
    <n v="1970258.32"/>
    <n v="40937.669999999925"/>
    <n v="1306.2297298409908"/>
    <n v="42243.899729840916"/>
    <n v="0"/>
    <n v="0"/>
    <n v="0"/>
    <n v="42243.899729840916"/>
  </r>
  <r>
    <x v="11"/>
    <d v="2022-01-05T00:00:00"/>
    <d v="2022-01-24T00:00:00"/>
    <x v="0"/>
    <n v="9"/>
    <n v="2379"/>
    <n v="870.64"/>
    <n v="888.73"/>
    <n v="2114288.67"/>
    <n v="2071252.56"/>
    <n v="43036.10999999987"/>
    <n v="1373.1862692407055"/>
    <n v="44409.296269240578"/>
    <n v="0"/>
    <n v="0"/>
    <n v="0"/>
    <n v="44409.296269240578"/>
  </r>
  <r>
    <x v="0"/>
    <d v="2021-02-03T00:00:00"/>
    <d v="2021-02-24T00:00:00"/>
    <x v="1"/>
    <n v="9"/>
    <n v="2771"/>
    <n v="870.64"/>
    <n v="888.73"/>
    <n v="2462670.83"/>
    <n v="2412543.44"/>
    <n v="50127.39000000013"/>
    <n v="1599.4531954880181"/>
    <n v="51726.843195488145"/>
    <n v="0"/>
    <n v="0"/>
    <n v="0"/>
    <n v="51726.843195488145"/>
  </r>
  <r>
    <x v="1"/>
    <d v="2021-03-03T00:00:00"/>
    <d v="2021-03-24T00:00:00"/>
    <x v="1"/>
    <n v="9"/>
    <n v="3136"/>
    <n v="870.64"/>
    <n v="888.73"/>
    <n v="2787057.2800000003"/>
    <n v="2730327.04"/>
    <n v="56730.240000000224"/>
    <n v="1810.1354099785008"/>
    <n v="58540.375409978726"/>
    <n v="0"/>
    <n v="0"/>
    <n v="0"/>
    <n v="58540.375409978726"/>
  </r>
  <r>
    <x v="2"/>
    <d v="2021-04-05T00:00:00"/>
    <d v="2021-04-26T00:00:00"/>
    <x v="1"/>
    <n v="9"/>
    <n v="2339"/>
    <n v="870.64"/>
    <n v="888.73"/>
    <n v="2078739.47"/>
    <n v="2036426.96"/>
    <n v="42312.510000000009"/>
    <n v="1350.0978073787348"/>
    <n v="43662.607807378743"/>
    <n v="0"/>
    <n v="0"/>
    <n v="0"/>
    <n v="43662.607807378743"/>
  </r>
  <r>
    <x v="3"/>
    <d v="2021-05-05T00:00:00"/>
    <d v="2021-05-24T00:00:00"/>
    <x v="1"/>
    <n v="9"/>
    <n v="2394"/>
    <n v="870.64"/>
    <n v="888.73"/>
    <n v="2127619.62"/>
    <n v="2084312.16"/>
    <n v="43307.460000000196"/>
    <n v="1381.8444424389445"/>
    <n v="44689.304442439141"/>
    <n v="0"/>
    <n v="0"/>
    <n v="0"/>
    <n v="44689.304442439141"/>
  </r>
  <r>
    <x v="4"/>
    <d v="2021-06-03T00:00:00"/>
    <d v="2021-06-24T00:00:00"/>
    <x v="1"/>
    <n v="9"/>
    <n v="2807"/>
    <n v="870.64"/>
    <n v="888.73"/>
    <n v="2494665.11"/>
    <n v="2443886.48"/>
    <n v="50778.629999999888"/>
    <n v="1620.2328111637917"/>
    <n v="52398.862811163679"/>
    <n v="0"/>
    <n v="0"/>
    <n v="0"/>
    <n v="52398.862811163679"/>
  </r>
  <r>
    <x v="5"/>
    <d v="2021-07-06T00:00:00"/>
    <d v="2021-07-24T00:00:00"/>
    <x v="1"/>
    <n v="9"/>
    <n v="3345"/>
    <n v="870.64"/>
    <n v="888.73"/>
    <n v="2972801.85"/>
    <n v="2912290.8"/>
    <n v="60511.050000000279"/>
    <n v="1930.7726232072973"/>
    <n v="62441.822623207576"/>
    <n v="0"/>
    <n v="0"/>
    <n v="0"/>
    <n v="62441.822623207576"/>
  </r>
  <r>
    <x v="6"/>
    <d v="2021-08-04T00:00:00"/>
    <d v="2021-08-24T00:00:00"/>
    <x v="1"/>
    <n v="9"/>
    <n v="3525"/>
    <n v="870.64"/>
    <n v="888.73"/>
    <n v="3132773.25"/>
    <n v="3069006"/>
    <n v="63767.25"/>
    <n v="2034.6707015861653"/>
    <n v="65801.920701586161"/>
    <n v="0"/>
    <n v="0"/>
    <n v="0"/>
    <n v="65801.920701586161"/>
  </r>
  <r>
    <x v="7"/>
    <d v="2021-09-03T00:00:00"/>
    <d v="2021-09-24T00:00:00"/>
    <x v="1"/>
    <n v="9"/>
    <n v="3514"/>
    <n v="870.64"/>
    <n v="888.73"/>
    <n v="3122997.22"/>
    <n v="3059428.96"/>
    <n v="63568.260000000242"/>
    <n v="2028.3213745741232"/>
    <n v="65596.581374574365"/>
    <n v="0"/>
    <n v="0"/>
    <n v="0"/>
    <n v="65596.581374574365"/>
  </r>
  <r>
    <x v="8"/>
    <d v="2021-10-05T00:00:00"/>
    <d v="2021-10-25T00:00:00"/>
    <x v="1"/>
    <n v="9"/>
    <n v="3486"/>
    <n v="870.64"/>
    <n v="888.73"/>
    <n v="3098112.7800000003"/>
    <n v="3035051.04"/>
    <n v="63061.740000000224"/>
    <n v="2012.1594512707441"/>
    <n v="65073.899451270969"/>
    <n v="0"/>
    <n v="0"/>
    <n v="0"/>
    <n v="65073.899451270969"/>
  </r>
  <r>
    <x v="9"/>
    <d v="2021-11-03T00:00:00"/>
    <d v="2021-11-24T00:00:00"/>
    <x v="1"/>
    <n v="9"/>
    <n v="2777"/>
    <n v="870.64"/>
    <n v="888.73"/>
    <n v="2468003.21"/>
    <n v="2417767.2799999998"/>
    <n v="50235.930000000168"/>
    <n v="1602.9164647673138"/>
    <n v="51838.846464767485"/>
    <n v="0"/>
    <n v="0"/>
    <n v="0"/>
    <n v="51838.846464767485"/>
  </r>
  <r>
    <x v="10"/>
    <d v="2021-12-03T00:00:00"/>
    <d v="2021-12-27T00:00:00"/>
    <x v="1"/>
    <n v="9"/>
    <n v="2284"/>
    <n v="870.64"/>
    <n v="888.73"/>
    <n v="2029859.32"/>
    <n v="1988541.76"/>
    <n v="41317.560000000056"/>
    <n v="1318.3511723185252"/>
    <n v="42635.911172318578"/>
    <n v="0"/>
    <n v="0"/>
    <n v="0"/>
    <n v="42635.911172318578"/>
  </r>
  <r>
    <x v="11"/>
    <d v="2022-01-05T00:00:00"/>
    <d v="2022-01-24T00:00:00"/>
    <x v="1"/>
    <n v="9"/>
    <n v="2425"/>
    <n v="870.64"/>
    <n v="888.73"/>
    <n v="2155170.25"/>
    <n v="2111302"/>
    <n v="43868.25"/>
    <n v="1399.7380003819719"/>
    <n v="45267.988000381971"/>
    <n v="0"/>
    <n v="0"/>
    <n v="0"/>
    <n v="45267.988000381971"/>
  </r>
  <r>
    <x v="0"/>
    <d v="2021-02-03T00:00:00"/>
    <d v="2021-02-24T00:00:00"/>
    <x v="2"/>
    <n v="9"/>
    <n v="146"/>
    <n v="870.64"/>
    <n v="888.73"/>
    <n v="129754.58"/>
    <n v="127113.44"/>
    <n v="2641.1399999999994"/>
    <n v="84.272885796192952"/>
    <n v="2725.4128857961923"/>
    <n v="0"/>
    <n v="0"/>
    <n v="0"/>
    <n v="2725.4128857961923"/>
  </r>
  <r>
    <x v="1"/>
    <d v="2021-03-03T00:00:00"/>
    <d v="2021-03-24T00:00:00"/>
    <x v="2"/>
    <n v="9"/>
    <n v="212"/>
    <n v="870.64"/>
    <n v="888.73"/>
    <n v="188410.76"/>
    <n v="184575.68"/>
    <n v="3835.0800000000163"/>
    <n v="122.36884786844456"/>
    <n v="3957.4488478684607"/>
    <n v="0"/>
    <n v="0"/>
    <n v="0"/>
    <n v="3957.4488478684607"/>
  </r>
  <r>
    <x v="2"/>
    <d v="2021-04-05T00:00:00"/>
    <d v="2021-04-26T00:00:00"/>
    <x v="2"/>
    <n v="9"/>
    <n v="125"/>
    <n v="870.64"/>
    <n v="888.73"/>
    <n v="111091.25"/>
    <n v="108830"/>
    <n v="2261.25"/>
    <n v="72.151443318658337"/>
    <n v="2333.4014433186585"/>
    <n v="0"/>
    <n v="0"/>
    <n v="0"/>
    <n v="2333.4014433186585"/>
  </r>
  <r>
    <x v="3"/>
    <d v="2021-05-05T00:00:00"/>
    <d v="2021-05-24T00:00:00"/>
    <x v="2"/>
    <n v="9"/>
    <n v="92"/>
    <n v="870.64"/>
    <n v="888.73"/>
    <n v="81763.16"/>
    <n v="80098.880000000005"/>
    <n v="1664.2799999999988"/>
    <n v="53.10346228253254"/>
    <n v="1717.3834622825314"/>
    <n v="0"/>
    <n v="0"/>
    <n v="0"/>
    <n v="1717.3834622825314"/>
  </r>
  <r>
    <x v="4"/>
    <d v="2021-06-03T00:00:00"/>
    <d v="2021-06-24T00:00:00"/>
    <x v="2"/>
    <n v="9"/>
    <n v="102"/>
    <n v="870.64"/>
    <n v="888.73"/>
    <n v="90650.46"/>
    <n v="88805.28"/>
    <n v="1845.1800000000076"/>
    <n v="58.875577748025215"/>
    <n v="1904.0555777480329"/>
    <n v="0"/>
    <n v="0"/>
    <n v="0"/>
    <n v="1904.0555777480329"/>
  </r>
  <r>
    <x v="5"/>
    <d v="2021-07-06T00:00:00"/>
    <d v="2021-07-24T00:00:00"/>
    <x v="2"/>
    <n v="9"/>
    <n v="124"/>
    <n v="870.64"/>
    <n v="888.73"/>
    <n v="110202.52"/>
    <n v="107959.36"/>
    <n v="2243.1600000000035"/>
    <n v="71.574231772109073"/>
    <n v="2314.7342317721127"/>
    <n v="0"/>
    <n v="0"/>
    <n v="0"/>
    <n v="2314.7342317721127"/>
  </r>
  <r>
    <x v="6"/>
    <d v="2021-08-04T00:00:00"/>
    <d v="2021-08-24T00:00:00"/>
    <x v="2"/>
    <n v="9"/>
    <n v="138"/>
    <n v="870.64"/>
    <n v="888.73"/>
    <n v="122644.74"/>
    <n v="120148.31999999999"/>
    <n v="2496.4200000000128"/>
    <n v="79.655193423798821"/>
    <n v="2576.0751934238115"/>
    <n v="0"/>
    <n v="0"/>
    <n v="0"/>
    <n v="2576.0751934238115"/>
  </r>
  <r>
    <x v="7"/>
    <d v="2021-09-03T00:00:00"/>
    <d v="2021-09-24T00:00:00"/>
    <x v="2"/>
    <n v="9"/>
    <n v="140"/>
    <n v="870.64"/>
    <n v="888.73"/>
    <n v="124422.2"/>
    <n v="121889.59999999999"/>
    <n v="2532.6000000000058"/>
    <n v="80.80961651689735"/>
    <n v="2613.409616516903"/>
    <n v="0"/>
    <n v="0"/>
    <n v="0"/>
    <n v="2613.409616516903"/>
  </r>
  <r>
    <x v="8"/>
    <d v="2021-10-05T00:00:00"/>
    <d v="2021-10-25T00:00:00"/>
    <x v="2"/>
    <n v="9"/>
    <n v="140"/>
    <n v="870.64"/>
    <n v="888.73"/>
    <n v="124422.2"/>
    <n v="121889.59999999999"/>
    <n v="2532.6000000000058"/>
    <n v="80.80961651689735"/>
    <n v="2613.409616516903"/>
    <n v="0"/>
    <n v="0"/>
    <n v="0"/>
    <n v="2613.409616516903"/>
  </r>
  <r>
    <x v="9"/>
    <d v="2021-11-03T00:00:00"/>
    <d v="2021-11-24T00:00:00"/>
    <x v="2"/>
    <n v="9"/>
    <n v="106"/>
    <n v="870.64"/>
    <n v="888.73"/>
    <n v="94205.38"/>
    <n v="92287.84"/>
    <n v="1917.5400000000081"/>
    <n v="61.184423934222281"/>
    <n v="1978.7244239342303"/>
    <n v="0"/>
    <n v="0"/>
    <n v="0"/>
    <n v="1978.7244239342303"/>
  </r>
  <r>
    <x v="10"/>
    <d v="2021-12-03T00:00:00"/>
    <d v="2021-12-27T00:00:00"/>
    <x v="2"/>
    <n v="9"/>
    <n v="107"/>
    <n v="870.64"/>
    <n v="888.73"/>
    <n v="95094.11"/>
    <n v="93158.48"/>
    <n v="1935.6300000000047"/>
    <n v="61.761635480771545"/>
    <n v="1997.3916354807761"/>
    <n v="0"/>
    <n v="0"/>
    <n v="0"/>
    <n v="1997.3916354807761"/>
  </r>
  <r>
    <x v="11"/>
    <d v="2022-01-05T00:00:00"/>
    <d v="2022-01-24T00:00:00"/>
    <x v="2"/>
    <n v="9"/>
    <n v="110"/>
    <n v="870.64"/>
    <n v="888.73"/>
    <n v="97760.3"/>
    <n v="95770.4"/>
    <n v="1989.9000000000087"/>
    <n v="63.493270120419346"/>
    <n v="2053.393270120428"/>
    <n v="0"/>
    <n v="0"/>
    <n v="0"/>
    <n v="2053.393270120428"/>
  </r>
  <r>
    <x v="0"/>
    <d v="2021-02-03T00:00:00"/>
    <d v="2021-02-24T00:00:00"/>
    <x v="3"/>
    <n v="9"/>
    <n v="767"/>
    <n v="870.64"/>
    <n v="888.73"/>
    <n v="681655.91"/>
    <n v="667780.88"/>
    <n v="13875.030000000028"/>
    <n v="442.72125620328757"/>
    <n v="14317.751256203315"/>
    <n v="0"/>
    <n v="0"/>
    <n v="0"/>
    <n v="14317.751256203315"/>
  </r>
  <r>
    <x v="1"/>
    <d v="2021-03-03T00:00:00"/>
    <d v="2021-03-24T00:00:00"/>
    <x v="3"/>
    <n v="9"/>
    <n v="1062"/>
    <n v="870.64"/>
    <n v="888.73"/>
    <n v="943831.26"/>
    <n v="924619.67999999993"/>
    <n v="19211.580000000075"/>
    <n v="612.99866243532131"/>
    <n v="19824.578662435397"/>
    <n v="0"/>
    <n v="0"/>
    <n v="0"/>
    <n v="19824.578662435397"/>
  </r>
  <r>
    <x v="2"/>
    <d v="2021-04-05T00:00:00"/>
    <d v="2021-04-26T00:00:00"/>
    <x v="3"/>
    <n v="9"/>
    <n v="599"/>
    <n v="870.64"/>
    <n v="888.73"/>
    <n v="532349.27"/>
    <n v="521513.36"/>
    <n v="10835.910000000033"/>
    <n v="345.74971638301076"/>
    <n v="11181.659716383043"/>
    <n v="0"/>
    <n v="0"/>
    <n v="0"/>
    <n v="11181.659716383043"/>
  </r>
  <r>
    <x v="3"/>
    <d v="2021-05-05T00:00:00"/>
    <d v="2021-05-24T00:00:00"/>
    <x v="3"/>
    <n v="9"/>
    <n v="447"/>
    <n v="870.64"/>
    <n v="888.73"/>
    <n v="397262.31"/>
    <n v="389176.08"/>
    <n v="8086.2299999999814"/>
    <n v="258.0135613075222"/>
    <n v="8344.2435613075031"/>
    <n v="0"/>
    <n v="0"/>
    <n v="0"/>
    <n v="8344.2435613075031"/>
  </r>
  <r>
    <x v="4"/>
    <d v="2021-06-03T00:00:00"/>
    <d v="2021-06-24T00:00:00"/>
    <x v="3"/>
    <n v="9"/>
    <n v="603"/>
    <n v="870.64"/>
    <n v="888.73"/>
    <n v="535904.19000000006"/>
    <n v="524995.92000000004"/>
    <n v="10908.270000000019"/>
    <n v="348.05856256920782"/>
    <n v="11256.328562569226"/>
    <n v="0"/>
    <n v="0"/>
    <n v="0"/>
    <n v="11256.328562569226"/>
  </r>
  <r>
    <x v="5"/>
    <d v="2021-07-06T00:00:00"/>
    <d v="2021-07-24T00:00:00"/>
    <x v="3"/>
    <n v="9"/>
    <n v="840"/>
    <n v="870.64"/>
    <n v="888.73"/>
    <n v="746533.20000000007"/>
    <n v="731337.6"/>
    <n v="15195.600000000093"/>
    <n v="484.85769910138407"/>
    <n v="15680.457699101476"/>
    <n v="0"/>
    <n v="0"/>
    <n v="0"/>
    <n v="15680.457699101476"/>
  </r>
  <r>
    <x v="6"/>
    <d v="2021-08-04T00:00:00"/>
    <d v="2021-08-24T00:00:00"/>
    <x v="3"/>
    <n v="9"/>
    <n v="926"/>
    <n v="870.64"/>
    <n v="888.73"/>
    <n v="822963.98"/>
    <n v="806212.64"/>
    <n v="16751.339999999967"/>
    <n v="534.49789210462097"/>
    <n v="17285.837892104588"/>
    <n v="0"/>
    <n v="0"/>
    <n v="0"/>
    <n v="17285.837892104588"/>
  </r>
  <r>
    <x v="7"/>
    <d v="2021-09-03T00:00:00"/>
    <d v="2021-09-24T00:00:00"/>
    <x v="3"/>
    <n v="9"/>
    <n v="943"/>
    <n v="870.64"/>
    <n v="888.73"/>
    <n v="838072.39"/>
    <n v="821013.52"/>
    <n v="17058.869999999995"/>
    <n v="544.3104883959586"/>
    <n v="17603.180488395956"/>
    <n v="0"/>
    <n v="0"/>
    <n v="0"/>
    <n v="17603.180488395956"/>
  </r>
  <r>
    <x v="8"/>
    <d v="2021-10-05T00:00:00"/>
    <d v="2021-10-25T00:00:00"/>
    <x v="3"/>
    <n v="9"/>
    <n v="913"/>
    <n v="870.64"/>
    <n v="888.73"/>
    <n v="811410.49"/>
    <n v="794894.32"/>
    <n v="16516.170000000042"/>
    <n v="526.99414199948046"/>
    <n v="17043.164141999521"/>
    <n v="0"/>
    <n v="0"/>
    <n v="0"/>
    <n v="17043.164141999521"/>
  </r>
  <r>
    <x v="9"/>
    <d v="2021-11-03T00:00:00"/>
    <d v="2021-11-24T00:00:00"/>
    <x v="3"/>
    <n v="9"/>
    <n v="681"/>
    <n v="870.64"/>
    <n v="888.73"/>
    <n v="605225.13"/>
    <n v="592905.84"/>
    <n v="12319.290000000037"/>
    <n v="393.08106320005066"/>
    <n v="12712.371063200088"/>
    <n v="0"/>
    <n v="0"/>
    <n v="0"/>
    <n v="12712.371063200088"/>
  </r>
  <r>
    <x v="10"/>
    <d v="2021-12-03T00:00:00"/>
    <d v="2021-12-27T00:00:00"/>
    <x v="3"/>
    <n v="9"/>
    <n v="652"/>
    <n v="870.64"/>
    <n v="888.73"/>
    <n v="579451.96"/>
    <n v="567657.28"/>
    <n v="11794.679999999935"/>
    <n v="376.34192835012192"/>
    <n v="12171.021928350057"/>
    <n v="0"/>
    <n v="0"/>
    <n v="0"/>
    <n v="12171.021928350057"/>
  </r>
  <r>
    <x v="11"/>
    <d v="2022-01-05T00:00:00"/>
    <d v="2022-01-24T00:00:00"/>
    <x v="3"/>
    <n v="9"/>
    <n v="634"/>
    <n v="870.64"/>
    <n v="888.73"/>
    <n v="563454.82000000007"/>
    <n v="551985.76"/>
    <n v="11469.060000000056"/>
    <n v="365.95212051223513"/>
    <n v="11835.01212051229"/>
    <n v="0"/>
    <n v="0"/>
    <n v="0"/>
    <n v="11835.01212051229"/>
  </r>
  <r>
    <x v="0"/>
    <d v="2021-02-03T00:00:00"/>
    <d v="2021-02-24T00:00:00"/>
    <x v="4"/>
    <n v="9"/>
    <n v="38"/>
    <n v="870.64"/>
    <n v="888.73"/>
    <n v="33771.74"/>
    <n v="33084.32"/>
    <n v="687.41999999999825"/>
    <n v="21.934038768872135"/>
    <n v="709.3540387688704"/>
    <n v="0"/>
    <n v="0"/>
    <n v="0"/>
    <n v="709.3540387688704"/>
  </r>
  <r>
    <x v="1"/>
    <d v="2021-03-03T00:00:00"/>
    <d v="2021-03-24T00:00:00"/>
    <x v="4"/>
    <n v="9"/>
    <n v="60"/>
    <n v="870.64"/>
    <n v="888.73"/>
    <n v="53323.8"/>
    <n v="52238.400000000001"/>
    <n v="1085.4000000000015"/>
    <n v="34.632692792956007"/>
    <n v="1120.0326927929575"/>
    <n v="0"/>
    <n v="0"/>
    <n v="0"/>
    <n v="1120.0326927929575"/>
  </r>
  <r>
    <x v="2"/>
    <d v="2021-04-05T00:00:00"/>
    <d v="2021-04-26T00:00:00"/>
    <x v="4"/>
    <n v="9"/>
    <n v="31"/>
    <n v="870.64"/>
    <n v="888.73"/>
    <n v="27550.63"/>
    <n v="26989.84"/>
    <n v="560.79000000000087"/>
    <n v="17.893557943027268"/>
    <n v="578.68355794302818"/>
    <n v="0"/>
    <n v="0"/>
    <n v="0"/>
    <n v="578.68355794302818"/>
  </r>
  <r>
    <x v="3"/>
    <d v="2021-05-05T00:00:00"/>
    <d v="2021-05-24T00:00:00"/>
    <x v="4"/>
    <n v="9"/>
    <n v="20"/>
    <n v="870.64"/>
    <n v="888.73"/>
    <n v="17774.599999999999"/>
    <n v="17412.8"/>
    <n v="361.79999999999927"/>
    <n v="11.544230930985334"/>
    <n v="373.34423093098462"/>
    <n v="0"/>
    <n v="0"/>
    <n v="0"/>
    <n v="373.34423093098462"/>
  </r>
  <r>
    <x v="4"/>
    <d v="2021-06-03T00:00:00"/>
    <d v="2021-06-24T00:00:00"/>
    <x v="4"/>
    <n v="9"/>
    <n v="28"/>
    <n v="870.64"/>
    <n v="888.73"/>
    <n v="24884.440000000002"/>
    <n v="24377.919999999998"/>
    <n v="506.52000000000407"/>
    <n v="16.161923303379471"/>
    <n v="522.68192330338354"/>
    <n v="0"/>
    <n v="0"/>
    <n v="0"/>
    <n v="522.68192330338354"/>
  </r>
  <r>
    <x v="5"/>
    <d v="2021-07-06T00:00:00"/>
    <d v="2021-07-24T00:00:00"/>
    <x v="4"/>
    <n v="9"/>
    <n v="45"/>
    <n v="870.64"/>
    <n v="888.73"/>
    <n v="39992.85"/>
    <n v="39178.800000000003"/>
    <n v="814.04999999999563"/>
    <n v="25.974519594717005"/>
    <n v="840.02451959471261"/>
    <n v="0"/>
    <n v="0"/>
    <n v="0"/>
    <n v="840.02451959471261"/>
  </r>
  <r>
    <x v="6"/>
    <d v="2021-08-04T00:00:00"/>
    <d v="2021-08-24T00:00:00"/>
    <x v="4"/>
    <n v="9"/>
    <n v="53"/>
    <n v="870.64"/>
    <n v="888.73"/>
    <n v="47102.69"/>
    <n v="46143.92"/>
    <n v="958.77000000000407"/>
    <n v="30.59221196711114"/>
    <n v="989.36221196711517"/>
    <n v="0"/>
    <n v="0"/>
    <n v="0"/>
    <n v="989.36221196711517"/>
  </r>
  <r>
    <x v="7"/>
    <d v="2021-09-03T00:00:00"/>
    <d v="2021-09-24T00:00:00"/>
    <x v="4"/>
    <n v="9"/>
    <n v="50"/>
    <n v="870.64"/>
    <n v="888.73"/>
    <n v="44436.5"/>
    <n v="43532"/>
    <n v="904.5"/>
    <n v="28.860577327463339"/>
    <n v="933.36057732746337"/>
    <n v="0"/>
    <n v="0"/>
    <n v="0"/>
    <n v="933.36057732746337"/>
  </r>
  <r>
    <x v="8"/>
    <d v="2021-10-05T00:00:00"/>
    <d v="2021-10-25T00:00:00"/>
    <x v="4"/>
    <n v="9"/>
    <n v="49"/>
    <n v="870.64"/>
    <n v="888.73"/>
    <n v="43547.770000000004"/>
    <n v="42661.36"/>
    <n v="886.41000000000349"/>
    <n v="28.283365780914075"/>
    <n v="914.69336578091759"/>
    <n v="0"/>
    <n v="0"/>
    <n v="0"/>
    <n v="914.69336578091759"/>
  </r>
  <r>
    <x v="9"/>
    <d v="2021-11-03T00:00:00"/>
    <d v="2021-11-24T00:00:00"/>
    <x v="4"/>
    <n v="9"/>
    <n v="38"/>
    <n v="870.64"/>
    <n v="888.73"/>
    <n v="33771.74"/>
    <n v="33084.32"/>
    <n v="687.41999999999825"/>
    <n v="21.934038768872135"/>
    <n v="709.3540387688704"/>
    <n v="0"/>
    <n v="0"/>
    <n v="0"/>
    <n v="709.3540387688704"/>
  </r>
  <r>
    <x v="10"/>
    <d v="2021-12-03T00:00:00"/>
    <d v="2021-12-27T00:00:00"/>
    <x v="4"/>
    <n v="9"/>
    <n v="32"/>
    <n v="870.64"/>
    <n v="888.73"/>
    <n v="28439.360000000001"/>
    <n v="27860.48"/>
    <n v="578.88000000000102"/>
    <n v="18.470769489576536"/>
    <n v="597.3507694895776"/>
    <n v="0"/>
    <n v="0"/>
    <n v="0"/>
    <n v="597.3507694895776"/>
  </r>
  <r>
    <x v="11"/>
    <d v="2022-01-05T00:00:00"/>
    <d v="2022-01-24T00:00:00"/>
    <x v="4"/>
    <n v="9"/>
    <n v="31"/>
    <n v="870.64"/>
    <n v="888.73"/>
    <n v="27550.63"/>
    <n v="26989.84"/>
    <n v="560.79000000000087"/>
    <n v="17.893557943027268"/>
    <n v="578.68355794302818"/>
    <n v="0"/>
    <n v="0"/>
    <n v="0"/>
    <n v="578.68355794302818"/>
  </r>
  <r>
    <x v="0"/>
    <d v="2021-02-03T00:00:00"/>
    <d v="2021-02-24T00:00:00"/>
    <x v="5"/>
    <n v="9"/>
    <n v="43"/>
    <n v="870.64"/>
    <n v="888.73"/>
    <n v="38215.39"/>
    <n v="37437.519999999997"/>
    <n v="777.87000000000262"/>
    <n v="24.820096501618469"/>
    <n v="802.69009650162104"/>
    <n v="0"/>
    <n v="0"/>
    <n v="0"/>
    <n v="802.69009650162104"/>
  </r>
  <r>
    <x v="1"/>
    <d v="2021-03-03T00:00:00"/>
    <d v="2021-03-24T00:00:00"/>
    <x v="5"/>
    <n v="9"/>
    <n v="48"/>
    <n v="870.64"/>
    <n v="888.73"/>
    <n v="42659.040000000001"/>
    <n v="41790.720000000001"/>
    <n v="868.31999999999971"/>
    <n v="27.706154234364803"/>
    <n v="896.02615423436453"/>
    <n v="0"/>
    <n v="0"/>
    <n v="0"/>
    <n v="896.02615423436453"/>
  </r>
  <r>
    <x v="2"/>
    <d v="2021-04-05T00:00:00"/>
    <d v="2021-04-26T00:00:00"/>
    <x v="5"/>
    <n v="9"/>
    <n v="35"/>
    <n v="870.64"/>
    <n v="888.73"/>
    <n v="31105.55"/>
    <n v="30472.399999999998"/>
    <n v="633.15000000000146"/>
    <n v="20.202404129224337"/>
    <n v="653.35240412922576"/>
    <n v="0"/>
    <n v="0"/>
    <n v="0"/>
    <n v="653.35240412922576"/>
  </r>
  <r>
    <x v="3"/>
    <d v="2021-05-05T00:00:00"/>
    <d v="2021-05-24T00:00:00"/>
    <x v="5"/>
    <n v="9"/>
    <n v="29"/>
    <n v="870.64"/>
    <n v="888.73"/>
    <n v="25773.170000000002"/>
    <n v="25248.560000000001"/>
    <n v="524.61000000000058"/>
    <n v="16.739134849928735"/>
    <n v="541.34913484992933"/>
    <n v="0"/>
    <n v="0"/>
    <n v="0"/>
    <n v="541.34913484992933"/>
  </r>
  <r>
    <x v="4"/>
    <d v="2021-06-03T00:00:00"/>
    <d v="2021-06-24T00:00:00"/>
    <x v="5"/>
    <n v="9"/>
    <n v="34"/>
    <n v="870.64"/>
    <n v="888.73"/>
    <n v="30216.82"/>
    <n v="29601.759999999998"/>
    <n v="615.06000000000131"/>
    <n v="19.625192582675069"/>
    <n v="634.68519258267634"/>
    <n v="0"/>
    <n v="0"/>
    <n v="0"/>
    <n v="634.68519258267634"/>
  </r>
  <r>
    <x v="5"/>
    <d v="2021-07-06T00:00:00"/>
    <d v="2021-07-24T00:00:00"/>
    <x v="5"/>
    <n v="9"/>
    <n v="45"/>
    <n v="870.64"/>
    <n v="888.73"/>
    <n v="39992.85"/>
    <n v="39178.800000000003"/>
    <n v="814.04999999999563"/>
    <n v="25.974519594717005"/>
    <n v="840.02451959471261"/>
    <n v="0"/>
    <n v="0"/>
    <n v="0"/>
    <n v="840.02451959471261"/>
  </r>
  <r>
    <x v="6"/>
    <d v="2021-08-04T00:00:00"/>
    <d v="2021-08-24T00:00:00"/>
    <x v="5"/>
    <n v="9"/>
    <n v="48"/>
    <n v="870.64"/>
    <n v="888.73"/>
    <n v="42659.040000000001"/>
    <n v="41790.720000000001"/>
    <n v="868.31999999999971"/>
    <n v="27.706154234364803"/>
    <n v="896.02615423436453"/>
    <n v="0"/>
    <n v="0"/>
    <n v="0"/>
    <n v="896.02615423436453"/>
  </r>
  <r>
    <x v="7"/>
    <d v="2021-09-03T00:00:00"/>
    <d v="2021-09-24T00:00:00"/>
    <x v="5"/>
    <n v="9"/>
    <n v="46"/>
    <n v="870.64"/>
    <n v="888.73"/>
    <n v="40881.58"/>
    <n v="40049.440000000002"/>
    <n v="832.13999999999942"/>
    <n v="26.55173114126627"/>
    <n v="858.69173114126568"/>
    <n v="0"/>
    <n v="0"/>
    <n v="0"/>
    <n v="858.69173114126568"/>
  </r>
  <r>
    <x v="8"/>
    <d v="2021-10-05T00:00:00"/>
    <d v="2021-10-25T00:00:00"/>
    <x v="5"/>
    <n v="9"/>
    <n v="46"/>
    <n v="870.64"/>
    <n v="888.73"/>
    <n v="40881.58"/>
    <n v="40049.440000000002"/>
    <n v="832.13999999999942"/>
    <n v="26.55173114126627"/>
    <n v="858.69173114126568"/>
    <n v="0"/>
    <n v="0"/>
    <n v="0"/>
    <n v="858.69173114126568"/>
  </r>
  <r>
    <x v="9"/>
    <d v="2021-11-03T00:00:00"/>
    <d v="2021-11-24T00:00:00"/>
    <x v="5"/>
    <n v="9"/>
    <n v="41"/>
    <n v="870.64"/>
    <n v="888.73"/>
    <n v="36437.93"/>
    <n v="35696.239999999998"/>
    <n v="741.69000000000233"/>
    <n v="23.665673408519936"/>
    <n v="765.35567340852231"/>
    <n v="0"/>
    <n v="0"/>
    <n v="0"/>
    <n v="765.35567340852231"/>
  </r>
  <r>
    <x v="10"/>
    <d v="2021-12-03T00:00:00"/>
    <d v="2021-12-27T00:00:00"/>
    <x v="5"/>
    <n v="9"/>
    <n v="40"/>
    <n v="870.64"/>
    <n v="888.73"/>
    <n v="35549.199999999997"/>
    <n v="34825.599999999999"/>
    <n v="723.59999999999854"/>
    <n v="23.088461861970668"/>
    <n v="746.68846186196924"/>
    <n v="0"/>
    <n v="0"/>
    <n v="0"/>
    <n v="746.68846186196924"/>
  </r>
  <r>
    <x v="11"/>
    <d v="2022-01-05T00:00:00"/>
    <d v="2022-01-24T00:00:00"/>
    <x v="5"/>
    <n v="9"/>
    <n v="39"/>
    <n v="870.64"/>
    <n v="888.73"/>
    <n v="34660.47"/>
    <n v="33954.959999999999"/>
    <n v="705.51000000000204"/>
    <n v="22.511250315421403"/>
    <n v="728.02125031542346"/>
    <n v="0"/>
    <n v="0"/>
    <n v="0"/>
    <n v="728.02125031542346"/>
  </r>
  <r>
    <x v="0"/>
    <d v="2021-02-03T00:00:00"/>
    <d v="2021-02-24T00:00:00"/>
    <x v="6"/>
    <n v="9"/>
    <n v="76"/>
    <n v="870.64"/>
    <n v="888.73"/>
    <n v="67543.48"/>
    <n v="66168.639999999999"/>
    <n v="1374.8399999999965"/>
    <n v="43.86807753774427"/>
    <n v="1418.7080775377408"/>
    <n v="0"/>
    <n v="0"/>
    <n v="0"/>
    <n v="1418.7080775377408"/>
  </r>
  <r>
    <x v="1"/>
    <d v="2021-03-03T00:00:00"/>
    <d v="2021-03-24T00:00:00"/>
    <x v="6"/>
    <n v="9"/>
    <n v="99"/>
    <n v="870.64"/>
    <n v="888.73"/>
    <n v="87984.27"/>
    <n v="86193.36"/>
    <n v="1790.9100000000035"/>
    <n v="57.143943108377414"/>
    <n v="1848.053943108381"/>
    <n v="0"/>
    <n v="0"/>
    <n v="0"/>
    <n v="1848.053943108381"/>
  </r>
  <r>
    <x v="2"/>
    <d v="2021-04-05T00:00:00"/>
    <d v="2021-04-26T00:00:00"/>
    <x v="6"/>
    <n v="9"/>
    <n v="66"/>
    <n v="870.64"/>
    <n v="888.73"/>
    <n v="58656.18"/>
    <n v="57462.239999999998"/>
    <n v="1193.9400000000023"/>
    <n v="38.095962072251602"/>
    <n v="1232.0359620722538"/>
    <n v="0"/>
    <n v="0"/>
    <n v="0"/>
    <n v="1232.0359620722538"/>
  </r>
  <r>
    <x v="3"/>
    <d v="2021-05-05T00:00:00"/>
    <d v="2021-05-24T00:00:00"/>
    <x v="6"/>
    <n v="9"/>
    <n v="67"/>
    <n v="870.64"/>
    <n v="888.73"/>
    <n v="59544.91"/>
    <n v="58332.88"/>
    <n v="1212.0300000000061"/>
    <n v="38.673173618800867"/>
    <n v="1250.7031736188069"/>
    <n v="0"/>
    <n v="0"/>
    <n v="0"/>
    <n v="1250.7031736188069"/>
  </r>
  <r>
    <x v="4"/>
    <d v="2021-06-03T00:00:00"/>
    <d v="2021-06-24T00:00:00"/>
    <x v="6"/>
    <n v="9"/>
    <n v="101"/>
    <n v="870.64"/>
    <n v="888.73"/>
    <n v="89761.73"/>
    <n v="87934.64"/>
    <n v="1827.0899999999965"/>
    <n v="58.298366201475943"/>
    <n v="1885.3883662014725"/>
    <n v="0"/>
    <n v="0"/>
    <n v="0"/>
    <n v="1885.3883662014725"/>
  </r>
  <r>
    <x v="5"/>
    <d v="2021-07-06T00:00:00"/>
    <d v="2021-07-24T00:00:00"/>
    <x v="6"/>
    <n v="9"/>
    <n v="141"/>
    <n v="870.64"/>
    <n v="888.73"/>
    <n v="125310.93000000001"/>
    <n v="122760.24"/>
    <n v="2550.6900000000023"/>
    <n v="81.386828063446615"/>
    <n v="2632.0768280634488"/>
    <n v="0"/>
    <n v="0"/>
    <n v="0"/>
    <n v="2632.0768280634488"/>
  </r>
  <r>
    <x v="6"/>
    <d v="2021-08-04T00:00:00"/>
    <d v="2021-08-24T00:00:00"/>
    <x v="6"/>
    <n v="9"/>
    <n v="145"/>
    <n v="870.64"/>
    <n v="888.73"/>
    <n v="128865.85"/>
    <n v="126242.8"/>
    <n v="2623.0500000000029"/>
    <n v="83.695674249643687"/>
    <n v="2706.7456742496465"/>
    <n v="0"/>
    <n v="0"/>
    <n v="0"/>
    <n v="2706.7456742496465"/>
  </r>
  <r>
    <x v="7"/>
    <d v="2021-09-03T00:00:00"/>
    <d v="2021-09-24T00:00:00"/>
    <x v="6"/>
    <n v="9"/>
    <n v="149"/>
    <n v="870.64"/>
    <n v="888.73"/>
    <n v="132420.76999999999"/>
    <n v="129725.36"/>
    <n v="2695.4099999999889"/>
    <n v="86.004520435840746"/>
    <n v="2781.4145204358297"/>
    <n v="0"/>
    <n v="0"/>
    <n v="0"/>
    <n v="2781.4145204358297"/>
  </r>
  <r>
    <x v="8"/>
    <d v="2021-10-05T00:00:00"/>
    <d v="2021-10-25T00:00:00"/>
    <x v="6"/>
    <n v="9"/>
    <n v="150"/>
    <n v="870.64"/>
    <n v="888.73"/>
    <n v="133309.5"/>
    <n v="130596"/>
    <n v="2713.5"/>
    <n v="86.581731982390011"/>
    <n v="2800.08173198239"/>
    <n v="0"/>
    <n v="0"/>
    <n v="0"/>
    <n v="2800.08173198239"/>
  </r>
  <r>
    <x v="9"/>
    <d v="2021-11-03T00:00:00"/>
    <d v="2021-11-24T00:00:00"/>
    <x v="6"/>
    <n v="9"/>
    <n v="114"/>
    <n v="870.64"/>
    <n v="888.73"/>
    <n v="101315.22"/>
    <n v="99252.959999999992"/>
    <n v="2062.2600000000093"/>
    <n v="65.802116306616412"/>
    <n v="2128.0621163066257"/>
    <n v="0"/>
    <n v="0"/>
    <n v="0"/>
    <n v="2128.0621163066257"/>
  </r>
  <r>
    <x v="10"/>
    <d v="2021-12-03T00:00:00"/>
    <d v="2021-12-27T00:00:00"/>
    <x v="6"/>
    <n v="9"/>
    <n v="66"/>
    <n v="870.64"/>
    <n v="888.73"/>
    <n v="58656.18"/>
    <n v="57462.239999999998"/>
    <n v="1193.9400000000023"/>
    <n v="38.095962072251602"/>
    <n v="1232.0359620722538"/>
    <n v="0"/>
    <n v="0"/>
    <n v="0"/>
    <n v="1232.0359620722538"/>
  </r>
  <r>
    <x v="11"/>
    <d v="2022-01-05T00:00:00"/>
    <d v="2022-01-24T00:00:00"/>
    <x v="6"/>
    <n v="9"/>
    <n v="72"/>
    <n v="870.64"/>
    <n v="888.73"/>
    <n v="63988.56"/>
    <n v="62686.080000000002"/>
    <n v="1302.4799999999959"/>
    <n v="41.559231351547204"/>
    <n v="1344.0392313515431"/>
    <n v="0"/>
    <n v="0"/>
    <n v="0"/>
    <n v="1344.0392313515431"/>
  </r>
  <r>
    <x v="0"/>
    <d v="2021-02-03T00:00:00"/>
    <d v="2021-02-24T00:00:00"/>
    <x v="7"/>
    <n v="9"/>
    <n v="37"/>
    <n v="870.64"/>
    <n v="888.73"/>
    <n v="32883.01"/>
    <n v="32213.68"/>
    <n v="669.33000000000175"/>
    <n v="21.35682722232287"/>
    <n v="690.68682722232461"/>
    <n v="0"/>
    <n v="0"/>
    <n v="0"/>
    <n v="690.68682722232461"/>
  </r>
  <r>
    <x v="1"/>
    <d v="2021-03-03T00:00:00"/>
    <d v="2021-03-24T00:00:00"/>
    <x v="7"/>
    <n v="9"/>
    <n v="33"/>
    <n v="870.64"/>
    <n v="888.73"/>
    <n v="29328.09"/>
    <n v="28731.119999999999"/>
    <n v="596.97000000000116"/>
    <n v="19.047981036125801"/>
    <n v="616.01798103612691"/>
    <n v="0"/>
    <n v="0"/>
    <n v="0"/>
    <n v="616.01798103612691"/>
  </r>
  <r>
    <x v="2"/>
    <d v="2021-04-05T00:00:00"/>
    <d v="2021-04-26T00:00:00"/>
    <x v="7"/>
    <n v="9"/>
    <n v="47"/>
    <n v="870.64"/>
    <n v="888.73"/>
    <n v="41770.31"/>
    <n v="40920.080000000002"/>
    <n v="850.22999999999593"/>
    <n v="27.128942687815538"/>
    <n v="877.35894268781146"/>
    <n v="0"/>
    <n v="0"/>
    <n v="0"/>
    <n v="877.35894268781146"/>
  </r>
  <r>
    <x v="3"/>
    <d v="2021-05-05T00:00:00"/>
    <d v="2021-05-24T00:00:00"/>
    <x v="7"/>
    <n v="9"/>
    <n v="39"/>
    <n v="870.64"/>
    <n v="888.73"/>
    <n v="34660.47"/>
    <n v="33954.959999999999"/>
    <n v="705.51000000000204"/>
    <n v="22.511250315421403"/>
    <n v="728.02125031542346"/>
    <n v="0"/>
    <n v="0"/>
    <n v="0"/>
    <n v="728.02125031542346"/>
  </r>
  <r>
    <x v="4"/>
    <d v="2021-06-03T00:00:00"/>
    <d v="2021-06-24T00:00:00"/>
    <x v="7"/>
    <n v="9"/>
    <n v="46"/>
    <n v="870.64"/>
    <n v="888.73"/>
    <n v="40881.58"/>
    <n v="40049.440000000002"/>
    <n v="832.13999999999942"/>
    <n v="26.55173114126627"/>
    <n v="858.69173114126568"/>
    <n v="0"/>
    <n v="0"/>
    <n v="0"/>
    <n v="858.69173114126568"/>
  </r>
  <r>
    <x v="5"/>
    <d v="2021-07-06T00:00:00"/>
    <d v="2021-07-24T00:00:00"/>
    <x v="7"/>
    <n v="9"/>
    <n v="51"/>
    <n v="870.64"/>
    <n v="888.73"/>
    <n v="45325.23"/>
    <n v="44402.64"/>
    <n v="922.59000000000378"/>
    <n v="29.437788874012607"/>
    <n v="952.02778887401644"/>
    <n v="0"/>
    <n v="0"/>
    <n v="0"/>
    <n v="952.02778887401644"/>
  </r>
  <r>
    <x v="6"/>
    <d v="2021-08-04T00:00:00"/>
    <d v="2021-08-24T00:00:00"/>
    <x v="7"/>
    <n v="9"/>
    <n v="46"/>
    <n v="870.64"/>
    <n v="888.73"/>
    <n v="40881.58"/>
    <n v="40049.440000000002"/>
    <n v="832.13999999999942"/>
    <n v="26.55173114126627"/>
    <n v="858.69173114126568"/>
    <n v="0"/>
    <n v="0"/>
    <n v="0"/>
    <n v="858.69173114126568"/>
  </r>
  <r>
    <x v="7"/>
    <d v="2021-09-03T00:00:00"/>
    <d v="2021-09-24T00:00:00"/>
    <x v="7"/>
    <n v="9"/>
    <n v="50"/>
    <n v="870.64"/>
    <n v="888.73"/>
    <n v="44436.5"/>
    <n v="43532"/>
    <n v="904.5"/>
    <n v="28.860577327463339"/>
    <n v="933.36057732746337"/>
    <n v="0"/>
    <n v="0"/>
    <n v="0"/>
    <n v="933.36057732746337"/>
  </r>
  <r>
    <x v="8"/>
    <d v="2021-10-05T00:00:00"/>
    <d v="2021-10-25T00:00:00"/>
    <x v="7"/>
    <n v="9"/>
    <n v="45"/>
    <n v="870.64"/>
    <n v="888.73"/>
    <n v="39992.85"/>
    <n v="39178.800000000003"/>
    <n v="814.04999999999563"/>
    <n v="25.974519594717005"/>
    <n v="840.02451959471261"/>
    <n v="0"/>
    <n v="0"/>
    <n v="0"/>
    <n v="840.02451959471261"/>
  </r>
  <r>
    <x v="9"/>
    <d v="2021-11-03T00:00:00"/>
    <d v="2021-11-24T00:00:00"/>
    <x v="7"/>
    <n v="9"/>
    <n v="46"/>
    <n v="870.64"/>
    <n v="888.73"/>
    <n v="40881.58"/>
    <n v="40049.440000000002"/>
    <n v="832.13999999999942"/>
    <n v="26.55173114126627"/>
    <n v="858.69173114126568"/>
    <n v="0"/>
    <n v="0"/>
    <n v="0"/>
    <n v="858.69173114126568"/>
  </r>
  <r>
    <x v="10"/>
    <d v="2021-12-03T00:00:00"/>
    <d v="2021-12-27T00:00:00"/>
    <x v="7"/>
    <n v="9"/>
    <n v="48"/>
    <n v="870.64"/>
    <n v="888.73"/>
    <n v="42659.040000000001"/>
    <n v="41790.720000000001"/>
    <n v="868.31999999999971"/>
    <n v="27.706154234364803"/>
    <n v="896.02615423436453"/>
    <n v="0"/>
    <n v="0"/>
    <n v="0"/>
    <n v="896.02615423436453"/>
  </r>
  <r>
    <x v="11"/>
    <d v="2022-01-05T00:00:00"/>
    <d v="2022-01-24T00:00:00"/>
    <x v="7"/>
    <n v="9"/>
    <n v="42"/>
    <n v="870.64"/>
    <n v="888.73"/>
    <n v="37326.660000000003"/>
    <n v="36566.879999999997"/>
    <n v="759.78000000000611"/>
    <n v="24.242884955069201"/>
    <n v="784.02288495507537"/>
    <n v="0"/>
    <n v="0"/>
    <n v="0"/>
    <n v="784.02288495507537"/>
  </r>
  <r>
    <x v="0"/>
    <d v="2021-02-03T00:00:00"/>
    <d v="2021-02-24T00:00:00"/>
    <x v="8"/>
    <n v="9"/>
    <n v="973"/>
    <n v="870.64"/>
    <n v="888.73"/>
    <n v="864734.29"/>
    <n v="847132.72"/>
    <n v="17601.570000000065"/>
    <n v="561.62683479243651"/>
    <n v="18163.196834792503"/>
    <n v="0"/>
    <n v="0"/>
    <n v="0"/>
    <n v="18163.196834792503"/>
  </r>
  <r>
    <x v="1"/>
    <d v="2021-03-03T00:00:00"/>
    <d v="2021-03-24T00:00:00"/>
    <x v="8"/>
    <n v="9"/>
    <n v="1338"/>
    <n v="870.64"/>
    <n v="888.73"/>
    <n v="1189120.74"/>
    <n v="1164916.32"/>
    <n v="24204.419999999925"/>
    <n v="772.30904928291886"/>
    <n v="24976.729049282843"/>
    <n v="0"/>
    <n v="0"/>
    <n v="0"/>
    <n v="24976.729049282843"/>
  </r>
  <r>
    <x v="2"/>
    <d v="2021-04-05T00:00:00"/>
    <d v="2021-04-26T00:00:00"/>
    <x v="8"/>
    <n v="9"/>
    <n v="790"/>
    <n v="870.64"/>
    <n v="888.73"/>
    <n v="702096.70000000007"/>
    <n v="687805.6"/>
    <n v="14291.100000000093"/>
    <n v="455.9971217739207"/>
    <n v="14747.097121774013"/>
    <n v="0"/>
    <n v="0"/>
    <n v="0"/>
    <n v="14747.097121774013"/>
  </r>
  <r>
    <x v="3"/>
    <d v="2021-05-05T00:00:00"/>
    <d v="2021-05-24T00:00:00"/>
    <x v="8"/>
    <n v="9"/>
    <n v="565"/>
    <n v="870.64"/>
    <n v="888.73"/>
    <n v="502132.45"/>
    <n v="491911.6"/>
    <n v="10220.850000000035"/>
    <n v="326.12452380033568"/>
    <n v="10546.974523800371"/>
    <n v="0"/>
    <n v="0"/>
    <n v="0"/>
    <n v="10546.974523800371"/>
  </r>
  <r>
    <x v="4"/>
    <d v="2021-06-03T00:00:00"/>
    <d v="2021-06-24T00:00:00"/>
    <x v="8"/>
    <n v="9"/>
    <n v="636"/>
    <n v="870.64"/>
    <n v="888.73"/>
    <n v="565232.28"/>
    <n v="553727.04"/>
    <n v="11505.239999999991"/>
    <n v="367.10654360533363"/>
    <n v="11872.346543605325"/>
    <n v="0"/>
    <n v="0"/>
    <n v="0"/>
    <n v="11872.346543605325"/>
  </r>
  <r>
    <x v="5"/>
    <d v="2021-07-06T00:00:00"/>
    <d v="2021-07-24T00:00:00"/>
    <x v="8"/>
    <n v="9"/>
    <n v="845"/>
    <n v="870.64"/>
    <n v="888.73"/>
    <n v="750976.85"/>
    <n v="735690.8"/>
    <n v="15286.04999999993"/>
    <n v="487.74375683413041"/>
    <n v="15773.79375683406"/>
    <n v="0"/>
    <n v="0"/>
    <n v="0"/>
    <n v="15773.79375683406"/>
  </r>
  <r>
    <x v="6"/>
    <d v="2021-08-04T00:00:00"/>
    <d v="2021-08-24T00:00:00"/>
    <x v="8"/>
    <n v="9"/>
    <n v="897"/>
    <n v="870.64"/>
    <n v="888.73"/>
    <n v="797190.81"/>
    <n v="780964.08"/>
    <n v="16226.730000000098"/>
    <n v="517.75875725469223"/>
    <n v="16744.488757254789"/>
    <n v="0"/>
    <n v="0"/>
    <n v="0"/>
    <n v="16744.488757254789"/>
  </r>
  <r>
    <x v="7"/>
    <d v="2021-09-03T00:00:00"/>
    <d v="2021-09-24T00:00:00"/>
    <x v="8"/>
    <n v="9"/>
    <n v="899"/>
    <n v="870.64"/>
    <n v="888.73"/>
    <n v="798968.27"/>
    <n v="782705.36"/>
    <n v="16262.910000000033"/>
    <n v="518.91318034779079"/>
    <n v="16781.823180347823"/>
    <n v="0"/>
    <n v="0"/>
    <n v="0"/>
    <n v="16781.823180347823"/>
  </r>
  <r>
    <x v="8"/>
    <d v="2021-10-05T00:00:00"/>
    <d v="2021-10-25T00:00:00"/>
    <x v="8"/>
    <n v="9"/>
    <n v="904"/>
    <n v="870.64"/>
    <n v="888.73"/>
    <n v="803411.92"/>
    <n v="787058.55999999994"/>
    <n v="16353.360000000102"/>
    <n v="521.79923808053718"/>
    <n v="16875.15923808064"/>
    <n v="0"/>
    <n v="0"/>
    <n v="0"/>
    <n v="16875.15923808064"/>
  </r>
  <r>
    <x v="9"/>
    <d v="2021-11-03T00:00:00"/>
    <d v="2021-11-24T00:00:00"/>
    <x v="8"/>
    <n v="9"/>
    <n v="685"/>
    <n v="870.64"/>
    <n v="888.73"/>
    <n v="608780.05000000005"/>
    <n v="596388.4"/>
    <n v="12391.650000000023"/>
    <n v="395.38990938624772"/>
    <n v="12787.039909386271"/>
    <n v="0"/>
    <n v="0"/>
    <n v="0"/>
    <n v="12787.039909386271"/>
  </r>
  <r>
    <x v="10"/>
    <d v="2021-12-03T00:00:00"/>
    <d v="2021-12-27T00:00:00"/>
    <x v="8"/>
    <n v="9"/>
    <n v="718"/>
    <n v="870.64"/>
    <n v="888.73"/>
    <n v="638108.14"/>
    <n v="625119.52"/>
    <n v="12988.619999999995"/>
    <n v="414.43789042237353"/>
    <n v="13403.057890422369"/>
    <n v="0"/>
    <n v="0"/>
    <n v="0"/>
    <n v="13403.057890422369"/>
  </r>
  <r>
    <x v="11"/>
    <d v="2022-01-05T00:00:00"/>
    <d v="2022-01-24T00:00:00"/>
    <x v="8"/>
    <n v="9"/>
    <n v="770"/>
    <n v="870.64"/>
    <n v="888.73"/>
    <n v="684322.1"/>
    <n v="670392.80000000005"/>
    <n v="13929.29999999993"/>
    <n v="444.4528908429354"/>
    <n v="14373.752890842865"/>
    <n v="0"/>
    <n v="0"/>
    <n v="0"/>
    <n v="14373.752890842865"/>
  </r>
  <r>
    <x v="0"/>
    <d v="2021-02-03T00:00:00"/>
    <d v="2021-02-24T00:00:00"/>
    <x v="9"/>
    <n v="9"/>
    <n v="7"/>
    <n v="870.64"/>
    <n v="888.73"/>
    <n v="6221.1100000000006"/>
    <n v="6094.48"/>
    <n v="126.63000000000102"/>
    <n v="4.0404808258448677"/>
    <n v="130.67048082584589"/>
    <n v="0"/>
    <n v="0"/>
    <n v="0"/>
    <n v="130.67048082584589"/>
  </r>
  <r>
    <x v="1"/>
    <d v="2021-03-03T00:00:00"/>
    <d v="2021-03-24T00:00:00"/>
    <x v="9"/>
    <n v="9"/>
    <n v="8"/>
    <n v="870.64"/>
    <n v="888.73"/>
    <n v="7109.84"/>
    <n v="6965.12"/>
    <n v="144.72000000000025"/>
    <n v="4.6176923723941341"/>
    <n v="149.3376923723944"/>
    <n v="0"/>
    <n v="0"/>
    <n v="0"/>
    <n v="149.3376923723944"/>
  </r>
  <r>
    <x v="2"/>
    <d v="2021-04-05T00:00:00"/>
    <d v="2021-04-26T00:00:00"/>
    <x v="9"/>
    <n v="9"/>
    <n v="5"/>
    <n v="870.64"/>
    <n v="888.73"/>
    <n v="4443.6499999999996"/>
    <n v="4353.2"/>
    <n v="90.449999999999818"/>
    <n v="2.8860577327463335"/>
    <n v="93.336057732746156"/>
    <n v="0"/>
    <n v="0"/>
    <n v="0"/>
    <n v="93.336057732746156"/>
  </r>
  <r>
    <x v="3"/>
    <d v="2021-05-05T00:00:00"/>
    <d v="2021-05-24T00:00:00"/>
    <x v="9"/>
    <n v="9"/>
    <n v="6"/>
    <n v="870.64"/>
    <n v="888.73"/>
    <n v="5332.38"/>
    <n v="5223.84"/>
    <n v="108.53999999999996"/>
    <n v="3.4632692792956004"/>
    <n v="112.00326927929557"/>
    <n v="0"/>
    <n v="0"/>
    <n v="0"/>
    <n v="112.00326927929557"/>
  </r>
  <r>
    <x v="4"/>
    <d v="2021-06-03T00:00:00"/>
    <d v="2021-06-24T00:00:00"/>
    <x v="9"/>
    <n v="9"/>
    <n v="4"/>
    <n v="870.64"/>
    <n v="888.73"/>
    <n v="3554.92"/>
    <n v="3482.56"/>
    <n v="72.360000000000127"/>
    <n v="2.3088461861970671"/>
    <n v="74.6688461861972"/>
    <n v="0"/>
    <n v="0"/>
    <n v="0"/>
    <n v="74.6688461861972"/>
  </r>
  <r>
    <x v="5"/>
    <d v="2021-07-06T00:00:00"/>
    <d v="2021-07-24T00:00:00"/>
    <x v="9"/>
    <n v="9"/>
    <n v="13"/>
    <n v="870.64"/>
    <n v="888.73"/>
    <n v="11553.49"/>
    <n v="11318.32"/>
    <n v="235.17000000000007"/>
    <n v="7.503750105140468"/>
    <n v="242.67375010514053"/>
    <n v="0"/>
    <n v="0"/>
    <n v="0"/>
    <n v="242.67375010514053"/>
  </r>
  <r>
    <x v="6"/>
    <d v="2021-08-04T00:00:00"/>
    <d v="2021-08-24T00:00:00"/>
    <x v="9"/>
    <n v="9"/>
    <n v="17"/>
    <n v="870.64"/>
    <n v="888.73"/>
    <n v="15108.41"/>
    <n v="14800.88"/>
    <n v="307.53000000000065"/>
    <n v="9.8125962913375346"/>
    <n v="317.34259629133817"/>
    <n v="0"/>
    <n v="0"/>
    <n v="0"/>
    <n v="317.34259629133817"/>
  </r>
  <r>
    <x v="7"/>
    <d v="2021-09-03T00:00:00"/>
    <d v="2021-09-24T00:00:00"/>
    <x v="9"/>
    <n v="9"/>
    <n v="17"/>
    <n v="870.64"/>
    <n v="888.73"/>
    <n v="15108.41"/>
    <n v="14800.88"/>
    <n v="307.53000000000065"/>
    <n v="9.8125962913375346"/>
    <n v="317.34259629133817"/>
    <n v="0"/>
    <n v="0"/>
    <n v="0"/>
    <n v="317.34259629133817"/>
  </r>
  <r>
    <x v="8"/>
    <d v="2021-10-05T00:00:00"/>
    <d v="2021-10-25T00:00:00"/>
    <x v="9"/>
    <n v="9"/>
    <n v="16"/>
    <n v="870.64"/>
    <n v="888.73"/>
    <n v="14219.68"/>
    <n v="13930.24"/>
    <n v="289.44000000000051"/>
    <n v="9.2353847447882682"/>
    <n v="298.6753847447888"/>
    <n v="0"/>
    <n v="0"/>
    <n v="0"/>
    <n v="298.6753847447888"/>
  </r>
  <r>
    <x v="9"/>
    <d v="2021-11-03T00:00:00"/>
    <d v="2021-11-24T00:00:00"/>
    <x v="9"/>
    <n v="9"/>
    <n v="5"/>
    <n v="870.64"/>
    <n v="888.73"/>
    <n v="4443.6499999999996"/>
    <n v="4353.2"/>
    <n v="90.449999999999818"/>
    <n v="2.8860577327463335"/>
    <n v="93.336057732746156"/>
    <n v="0"/>
    <n v="0"/>
    <n v="0"/>
    <n v="93.336057732746156"/>
  </r>
  <r>
    <x v="10"/>
    <d v="2021-12-03T00:00:00"/>
    <d v="2021-12-27T00:00:00"/>
    <x v="9"/>
    <n v="9"/>
    <n v="5"/>
    <n v="870.64"/>
    <n v="888.73"/>
    <n v="4443.6499999999996"/>
    <n v="4353.2"/>
    <n v="90.449999999999818"/>
    <n v="2.8860577327463335"/>
    <n v="93.336057732746156"/>
    <n v="0"/>
    <n v="0"/>
    <n v="0"/>
    <n v="93.336057732746156"/>
  </r>
  <r>
    <x v="11"/>
    <d v="2022-01-05T00:00:00"/>
    <d v="2022-01-24T00:00:00"/>
    <x v="9"/>
    <n v="9"/>
    <n v="6"/>
    <n v="870.64"/>
    <n v="888.73"/>
    <n v="5332.38"/>
    <n v="5223.84"/>
    <n v="108.53999999999996"/>
    <n v="3.4632692792956004"/>
    <n v="112.00326927929557"/>
    <n v="0"/>
    <n v="0"/>
    <n v="0"/>
    <n v="112.00326927929557"/>
  </r>
  <r>
    <x v="0"/>
    <d v="2021-02-03T00:00:00"/>
    <d v="2021-02-24T00:00:00"/>
    <x v="10"/>
    <n v="9"/>
    <n v="3"/>
    <n v="870.64"/>
    <n v="888.73"/>
    <n v="2666.19"/>
    <n v="2611.92"/>
    <n v="54.269999999999982"/>
    <n v="1.7316346396478002"/>
    <n v="56.001634639647783"/>
    <n v="0"/>
    <n v="0"/>
    <n v="0"/>
    <n v="56.001634639647783"/>
  </r>
  <r>
    <x v="1"/>
    <d v="2021-03-03T00:00:00"/>
    <d v="2021-03-24T00:00:00"/>
    <x v="10"/>
    <n v="9"/>
    <n v="5"/>
    <n v="870.64"/>
    <n v="888.73"/>
    <n v="4443.6499999999996"/>
    <n v="4353.2"/>
    <n v="90.449999999999818"/>
    <n v="2.8860577327463335"/>
    <n v="93.336057732746156"/>
    <n v="0"/>
    <n v="0"/>
    <n v="0"/>
    <n v="93.336057732746156"/>
  </r>
  <r>
    <x v="2"/>
    <d v="2021-04-05T00:00:00"/>
    <d v="2021-04-26T00:00:00"/>
    <x v="10"/>
    <n v="9"/>
    <n v="4"/>
    <n v="870.64"/>
    <n v="888.73"/>
    <n v="3554.92"/>
    <n v="3482.56"/>
    <n v="72.360000000000127"/>
    <n v="2.3088461861970671"/>
    <n v="74.6688461861972"/>
    <n v="0"/>
    <n v="0"/>
    <n v="0"/>
    <n v="74.6688461861972"/>
  </r>
  <r>
    <x v="3"/>
    <d v="2021-05-05T00:00:00"/>
    <d v="2021-05-24T00:00:00"/>
    <x v="10"/>
    <n v="9"/>
    <n v="4"/>
    <n v="870.64"/>
    <n v="888.73"/>
    <n v="3554.92"/>
    <n v="3482.56"/>
    <n v="72.360000000000127"/>
    <n v="2.3088461861970671"/>
    <n v="74.6688461861972"/>
    <n v="0"/>
    <n v="0"/>
    <n v="0"/>
    <n v="74.6688461861972"/>
  </r>
  <r>
    <x v="4"/>
    <d v="2021-06-03T00:00:00"/>
    <d v="2021-06-24T00:00:00"/>
    <x v="10"/>
    <n v="9"/>
    <n v="3"/>
    <n v="870.64"/>
    <n v="888.73"/>
    <n v="2666.19"/>
    <n v="2611.92"/>
    <n v="54.269999999999982"/>
    <n v="1.7316346396478002"/>
    <n v="56.001634639647783"/>
    <n v="0"/>
    <n v="0"/>
    <n v="0"/>
    <n v="56.001634639647783"/>
  </r>
  <r>
    <x v="5"/>
    <d v="2021-07-06T00:00:00"/>
    <d v="2021-07-24T00:00:00"/>
    <x v="10"/>
    <n v="9"/>
    <n v="5"/>
    <n v="870.64"/>
    <n v="888.73"/>
    <n v="4443.6499999999996"/>
    <n v="4353.2"/>
    <n v="90.449999999999818"/>
    <n v="2.8860577327463335"/>
    <n v="93.336057732746156"/>
    <n v="0"/>
    <n v="0"/>
    <n v="0"/>
    <n v="93.336057732746156"/>
  </r>
  <r>
    <x v="6"/>
    <d v="2021-08-04T00:00:00"/>
    <d v="2021-08-24T00:00:00"/>
    <x v="10"/>
    <n v="9"/>
    <n v="5"/>
    <n v="870.64"/>
    <n v="888.73"/>
    <n v="4443.6499999999996"/>
    <n v="4353.2"/>
    <n v="90.449999999999818"/>
    <n v="2.8860577327463335"/>
    <n v="93.336057732746156"/>
    <n v="0"/>
    <n v="0"/>
    <n v="0"/>
    <n v="93.336057732746156"/>
  </r>
  <r>
    <x v="7"/>
    <d v="2021-09-03T00:00:00"/>
    <d v="2021-09-24T00:00:00"/>
    <x v="10"/>
    <n v="9"/>
    <n v="4"/>
    <n v="870.64"/>
    <n v="888.73"/>
    <n v="3554.92"/>
    <n v="3482.56"/>
    <n v="72.360000000000127"/>
    <n v="2.3088461861970671"/>
    <n v="74.6688461861972"/>
    <n v="0"/>
    <n v="0"/>
    <n v="0"/>
    <n v="74.6688461861972"/>
  </r>
  <r>
    <x v="8"/>
    <d v="2021-10-05T00:00:00"/>
    <d v="2021-10-25T00:00:00"/>
    <x v="10"/>
    <n v="9"/>
    <n v="4"/>
    <n v="870.64"/>
    <n v="888.73"/>
    <n v="3554.92"/>
    <n v="3482.56"/>
    <n v="72.360000000000127"/>
    <n v="2.3088461861970671"/>
    <n v="74.6688461861972"/>
    <n v="0"/>
    <n v="0"/>
    <n v="0"/>
    <n v="74.6688461861972"/>
  </r>
  <r>
    <x v="9"/>
    <d v="2021-11-03T00:00:00"/>
    <d v="2021-11-24T00:00:00"/>
    <x v="10"/>
    <n v="9"/>
    <n v="4"/>
    <n v="870.64"/>
    <n v="888.73"/>
    <n v="3554.92"/>
    <n v="3482.56"/>
    <n v="72.360000000000127"/>
    <n v="2.3088461861970671"/>
    <n v="74.6688461861972"/>
    <n v="0"/>
    <n v="0"/>
    <n v="0"/>
    <n v="74.6688461861972"/>
  </r>
  <r>
    <x v="10"/>
    <d v="2021-12-03T00:00:00"/>
    <d v="2021-12-27T00:00:00"/>
    <x v="10"/>
    <n v="9"/>
    <n v="4"/>
    <n v="870.64"/>
    <n v="888.73"/>
    <n v="3554.92"/>
    <n v="3482.56"/>
    <n v="72.360000000000127"/>
    <n v="2.3088461861970671"/>
    <n v="74.6688461861972"/>
    <n v="0"/>
    <n v="0"/>
    <n v="0"/>
    <n v="74.6688461861972"/>
  </r>
  <r>
    <x v="11"/>
    <d v="2022-01-05T00:00:00"/>
    <d v="2022-01-24T00:00:00"/>
    <x v="10"/>
    <n v="9"/>
    <n v="1"/>
    <n v="870.64"/>
    <n v="888.73"/>
    <n v="888.73"/>
    <n v="870.64"/>
    <n v="18.090000000000032"/>
    <n v="0.57721154654926676"/>
    <n v="18.6672115465493"/>
    <n v="0"/>
    <n v="0"/>
    <n v="0"/>
    <n v="18.6672115465493"/>
  </r>
  <r>
    <x v="0"/>
    <d v="2021-02-03T00:00:00"/>
    <d v="2021-02-24T00:00:00"/>
    <x v="11"/>
    <n v="9"/>
    <n v="104"/>
    <n v="870.64"/>
    <n v="888.73"/>
    <n v="92427.92"/>
    <n v="90546.559999999998"/>
    <n v="1881.3600000000006"/>
    <n v="60.030000841123744"/>
    <n v="1941.3900008411242"/>
    <n v="0"/>
    <n v="0"/>
    <n v="0"/>
    <n v="1941.3900008411242"/>
  </r>
  <r>
    <x v="1"/>
    <d v="2021-03-03T00:00:00"/>
    <d v="2021-03-24T00:00:00"/>
    <x v="11"/>
    <n v="9"/>
    <n v="133"/>
    <n v="870.64"/>
    <n v="888.73"/>
    <n v="118201.09"/>
    <n v="115795.12"/>
    <n v="2405.9700000000012"/>
    <n v="76.769135691052469"/>
    <n v="2482.7391356910534"/>
    <n v="0"/>
    <n v="0"/>
    <n v="0"/>
    <n v="2482.7391356910534"/>
  </r>
  <r>
    <x v="2"/>
    <d v="2021-04-05T00:00:00"/>
    <d v="2021-04-26T00:00:00"/>
    <x v="11"/>
    <n v="9"/>
    <n v="87"/>
    <n v="870.64"/>
    <n v="888.73"/>
    <n v="77319.509999999995"/>
    <n v="75745.679999999993"/>
    <n v="1573.8300000000017"/>
    <n v="50.21740454978621"/>
    <n v="1624.0474045497879"/>
    <n v="0"/>
    <n v="0"/>
    <n v="0"/>
    <n v="1624.0474045497879"/>
  </r>
  <r>
    <x v="3"/>
    <d v="2021-05-05T00:00:00"/>
    <d v="2021-05-24T00:00:00"/>
    <x v="11"/>
    <n v="9"/>
    <n v="77"/>
    <n v="870.64"/>
    <n v="888.73"/>
    <n v="68432.210000000006"/>
    <n v="67039.28"/>
    <n v="1392.9300000000076"/>
    <n v="44.445289084293542"/>
    <n v="1437.3752890843011"/>
    <n v="0"/>
    <n v="0"/>
    <n v="0"/>
    <n v="1437.3752890843011"/>
  </r>
  <r>
    <x v="4"/>
    <d v="2021-06-03T00:00:00"/>
    <d v="2021-06-24T00:00:00"/>
    <x v="11"/>
    <n v="9"/>
    <n v="104"/>
    <n v="870.64"/>
    <n v="888.73"/>
    <n v="92427.92"/>
    <n v="90546.559999999998"/>
    <n v="1881.3600000000006"/>
    <n v="60.030000841123744"/>
    <n v="1941.3900008411242"/>
    <n v="0"/>
    <n v="0"/>
    <n v="0"/>
    <n v="1941.3900008411242"/>
  </r>
  <r>
    <x v="5"/>
    <d v="2021-07-06T00:00:00"/>
    <d v="2021-07-24T00:00:00"/>
    <x v="11"/>
    <n v="9"/>
    <n v="144"/>
    <n v="870.64"/>
    <n v="888.73"/>
    <n v="127977.12"/>
    <n v="125372.16"/>
    <n v="2604.9599999999919"/>
    <n v="83.118462703094409"/>
    <n v="2688.0784627030862"/>
    <n v="0"/>
    <n v="0"/>
    <n v="0"/>
    <n v="2688.0784627030862"/>
  </r>
  <r>
    <x v="6"/>
    <d v="2021-08-04T00:00:00"/>
    <d v="2021-08-24T00:00:00"/>
    <x v="11"/>
    <n v="9"/>
    <n v="161"/>
    <n v="870.64"/>
    <n v="888.73"/>
    <n v="143085.53"/>
    <n v="140173.04"/>
    <n v="2912.4899999999907"/>
    <n v="92.931058994431936"/>
    <n v="3005.4210589944228"/>
    <n v="0"/>
    <n v="0"/>
    <n v="0"/>
    <n v="3005.4210589944228"/>
  </r>
  <r>
    <x v="7"/>
    <d v="2021-09-03T00:00:00"/>
    <d v="2021-09-24T00:00:00"/>
    <x v="11"/>
    <n v="9"/>
    <n v="163"/>
    <n v="870.64"/>
    <n v="888.73"/>
    <n v="144862.99"/>
    <n v="141914.32"/>
    <n v="2948.6699999999837"/>
    <n v="94.08548208753048"/>
    <n v="3042.7554820875143"/>
    <n v="0"/>
    <n v="0"/>
    <n v="0"/>
    <n v="3042.7554820875143"/>
  </r>
  <r>
    <x v="8"/>
    <d v="2021-10-05T00:00:00"/>
    <d v="2021-10-25T00:00:00"/>
    <x v="11"/>
    <n v="9"/>
    <n v="153"/>
    <n v="870.64"/>
    <n v="888.73"/>
    <n v="135975.69"/>
    <n v="133207.91999999998"/>
    <n v="2767.7700000000186"/>
    <n v="88.313366622037819"/>
    <n v="2856.0833666220565"/>
    <n v="0"/>
    <n v="0"/>
    <n v="0"/>
    <n v="2856.0833666220565"/>
  </r>
  <r>
    <x v="9"/>
    <d v="2021-11-03T00:00:00"/>
    <d v="2021-11-24T00:00:00"/>
    <x v="11"/>
    <n v="9"/>
    <n v="117"/>
    <n v="870.64"/>
    <n v="888.73"/>
    <n v="103981.41"/>
    <n v="101864.88"/>
    <n v="2116.5299999999988"/>
    <n v="67.533750946264206"/>
    <n v="2184.0637509462631"/>
    <n v="0"/>
    <n v="0"/>
    <n v="0"/>
    <n v="2184.0637509462631"/>
  </r>
  <r>
    <x v="10"/>
    <d v="2021-12-03T00:00:00"/>
    <d v="2021-12-27T00:00:00"/>
    <x v="11"/>
    <n v="9"/>
    <n v="91"/>
    <n v="870.64"/>
    <n v="888.73"/>
    <n v="80874.430000000008"/>
    <n v="79228.240000000005"/>
    <n v="1646.1900000000023"/>
    <n v="52.526250735983275"/>
    <n v="1698.7162507359856"/>
    <n v="0"/>
    <n v="0"/>
    <n v="0"/>
    <n v="1698.7162507359856"/>
  </r>
  <r>
    <x v="11"/>
    <d v="2022-01-05T00:00:00"/>
    <d v="2022-01-24T00:00:00"/>
    <x v="11"/>
    <n v="9"/>
    <n v="94"/>
    <n v="870.64"/>
    <n v="888.73"/>
    <n v="83540.62"/>
    <n v="81840.160000000003"/>
    <n v="1700.4599999999919"/>
    <n v="54.257885375631076"/>
    <n v="1754.7178853756229"/>
    <n v="0"/>
    <n v="0"/>
    <n v="0"/>
    <n v="1754.7178853756229"/>
  </r>
  <r>
    <x v="0"/>
    <d v="2021-02-03T00:00:00"/>
    <d v="2021-02-24T00:00:00"/>
    <x v="12"/>
    <n v="9"/>
    <n v="11"/>
    <n v="870.64"/>
    <n v="888.73"/>
    <n v="9776.0300000000007"/>
    <n v="9577.0399999999991"/>
    <n v="198.9900000000016"/>
    <n v="6.3493270120419343"/>
    <n v="205.33932701204353"/>
    <n v="0"/>
    <n v="0"/>
    <n v="0"/>
    <n v="205.33932701204353"/>
  </r>
  <r>
    <x v="1"/>
    <d v="2021-03-03T00:00:00"/>
    <d v="2021-03-24T00:00:00"/>
    <x v="12"/>
    <n v="9"/>
    <n v="8"/>
    <n v="870.64"/>
    <n v="888.73"/>
    <n v="7109.84"/>
    <n v="6965.12"/>
    <n v="144.72000000000025"/>
    <n v="4.6176923723941341"/>
    <n v="149.3376923723944"/>
    <n v="0"/>
    <n v="0"/>
    <n v="0"/>
    <n v="149.3376923723944"/>
  </r>
  <r>
    <x v="2"/>
    <d v="2021-04-05T00:00:00"/>
    <d v="2021-04-26T00:00:00"/>
    <x v="12"/>
    <n v="9"/>
    <n v="7"/>
    <n v="870.64"/>
    <n v="888.73"/>
    <n v="6221.1100000000006"/>
    <n v="6094.48"/>
    <n v="126.63000000000102"/>
    <n v="4.0404808258448677"/>
    <n v="130.67048082584589"/>
    <n v="0"/>
    <n v="0"/>
    <n v="0"/>
    <n v="130.67048082584589"/>
  </r>
  <r>
    <x v="3"/>
    <d v="2021-05-05T00:00:00"/>
    <d v="2021-05-24T00:00:00"/>
    <x v="12"/>
    <n v="9"/>
    <n v="12"/>
    <n v="870.64"/>
    <n v="888.73"/>
    <n v="10664.76"/>
    <n v="10447.68"/>
    <n v="217.07999999999993"/>
    <n v="6.9265385585912007"/>
    <n v="224.00653855859113"/>
    <n v="0"/>
    <n v="0"/>
    <n v="0"/>
    <n v="224.00653855859113"/>
  </r>
  <r>
    <x v="4"/>
    <d v="2021-06-03T00:00:00"/>
    <d v="2021-06-24T00:00:00"/>
    <x v="12"/>
    <n v="9"/>
    <n v="11"/>
    <n v="870.64"/>
    <n v="888.73"/>
    <n v="9776.0300000000007"/>
    <n v="9577.0399999999991"/>
    <n v="198.9900000000016"/>
    <n v="6.3493270120419343"/>
    <n v="205.33932701204353"/>
    <n v="0"/>
    <n v="0"/>
    <n v="0"/>
    <n v="205.33932701204353"/>
  </r>
  <r>
    <x v="5"/>
    <d v="2021-07-06T00:00:00"/>
    <d v="2021-07-24T00:00:00"/>
    <x v="12"/>
    <n v="9"/>
    <n v="13"/>
    <n v="870.64"/>
    <n v="888.73"/>
    <n v="11553.49"/>
    <n v="11318.32"/>
    <n v="235.17000000000007"/>
    <n v="7.503750105140468"/>
    <n v="242.67375010514053"/>
    <n v="0"/>
    <n v="0"/>
    <n v="0"/>
    <n v="242.67375010514053"/>
  </r>
  <r>
    <x v="6"/>
    <d v="2021-08-04T00:00:00"/>
    <d v="2021-08-24T00:00:00"/>
    <x v="12"/>
    <n v="9"/>
    <n v="13"/>
    <n v="870.64"/>
    <n v="888.73"/>
    <n v="11553.49"/>
    <n v="11318.32"/>
    <n v="235.17000000000007"/>
    <n v="7.503750105140468"/>
    <n v="242.67375010514053"/>
    <n v="0"/>
    <n v="0"/>
    <n v="0"/>
    <n v="242.67375010514053"/>
  </r>
  <r>
    <x v="7"/>
    <d v="2021-09-03T00:00:00"/>
    <d v="2021-09-24T00:00:00"/>
    <x v="12"/>
    <n v="9"/>
    <n v="12"/>
    <n v="870.64"/>
    <n v="888.73"/>
    <n v="10664.76"/>
    <n v="10447.68"/>
    <n v="217.07999999999993"/>
    <n v="6.9265385585912007"/>
    <n v="224.00653855859113"/>
    <n v="0"/>
    <n v="0"/>
    <n v="0"/>
    <n v="224.00653855859113"/>
  </r>
  <r>
    <x v="8"/>
    <d v="2021-10-05T00:00:00"/>
    <d v="2021-10-25T00:00:00"/>
    <x v="12"/>
    <n v="9"/>
    <n v="13"/>
    <n v="870.64"/>
    <n v="888.73"/>
    <n v="11553.49"/>
    <n v="11318.32"/>
    <n v="235.17000000000007"/>
    <n v="7.503750105140468"/>
    <n v="242.67375010514053"/>
    <n v="0"/>
    <n v="0"/>
    <n v="0"/>
    <n v="242.67375010514053"/>
  </r>
  <r>
    <x v="9"/>
    <d v="2021-11-03T00:00:00"/>
    <d v="2021-11-24T00:00:00"/>
    <x v="12"/>
    <n v="9"/>
    <n v="8"/>
    <n v="870.64"/>
    <n v="888.73"/>
    <n v="7109.84"/>
    <n v="6965.12"/>
    <n v="144.72000000000025"/>
    <n v="4.6176923723941341"/>
    <n v="149.3376923723944"/>
    <n v="0"/>
    <n v="0"/>
    <n v="0"/>
    <n v="149.3376923723944"/>
  </r>
  <r>
    <x v="10"/>
    <d v="2021-12-03T00:00:00"/>
    <d v="2021-12-27T00:00:00"/>
    <x v="12"/>
    <n v="9"/>
    <n v="8"/>
    <n v="870.64"/>
    <n v="888.73"/>
    <n v="7109.84"/>
    <n v="6965.12"/>
    <n v="144.72000000000025"/>
    <n v="4.6176923723941341"/>
    <n v="149.3376923723944"/>
    <n v="0"/>
    <n v="0"/>
    <n v="0"/>
    <n v="149.3376923723944"/>
  </r>
  <r>
    <x v="11"/>
    <d v="2022-01-05T00:00:00"/>
    <d v="2022-01-24T00:00:00"/>
    <x v="12"/>
    <n v="9"/>
    <n v="11"/>
    <n v="870.64"/>
    <n v="888.73"/>
    <n v="9776.0300000000007"/>
    <n v="9577.0399999999991"/>
    <n v="198.9900000000016"/>
    <n v="6.3493270120419343"/>
    <n v="205.33932701204353"/>
    <n v="0"/>
    <n v="0"/>
    <n v="0"/>
    <n v="205.33932701204353"/>
  </r>
  <r>
    <x v="0"/>
    <d v="2021-02-03T00:00:00"/>
    <d v="2021-02-24T00:00:00"/>
    <x v="13"/>
    <n v="9"/>
    <n v="20"/>
    <n v="870.64"/>
    <n v="888.73"/>
    <n v="17774.599999999999"/>
    <n v="17412.8"/>
    <n v="361.79999999999927"/>
    <n v="11.544230930985334"/>
    <n v="373.34423093098462"/>
    <n v="0"/>
    <n v="0"/>
    <n v="0"/>
    <n v="373.34423093098462"/>
  </r>
  <r>
    <x v="1"/>
    <d v="2021-03-03T00:00:00"/>
    <d v="2021-03-24T00:00:00"/>
    <x v="13"/>
    <n v="9"/>
    <n v="23"/>
    <n v="870.64"/>
    <n v="888.73"/>
    <n v="20440.79"/>
    <n v="20024.72"/>
    <n v="416.06999999999971"/>
    <n v="13.275865570633135"/>
    <n v="429.34586557063284"/>
    <n v="0"/>
    <n v="0"/>
    <n v="0"/>
    <n v="429.34586557063284"/>
  </r>
  <r>
    <x v="2"/>
    <d v="2021-04-05T00:00:00"/>
    <d v="2021-04-26T00:00:00"/>
    <x v="13"/>
    <n v="9"/>
    <n v="16"/>
    <n v="870.64"/>
    <n v="888.73"/>
    <n v="14219.68"/>
    <n v="13930.24"/>
    <n v="289.44000000000051"/>
    <n v="9.2353847447882682"/>
    <n v="298.6753847447888"/>
    <n v="0"/>
    <n v="0"/>
    <n v="0"/>
    <n v="298.6753847447888"/>
  </r>
  <r>
    <x v="3"/>
    <d v="2021-05-05T00:00:00"/>
    <d v="2021-05-24T00:00:00"/>
    <x v="13"/>
    <n v="9"/>
    <n v="20"/>
    <n v="870.64"/>
    <n v="888.73"/>
    <n v="17774.599999999999"/>
    <n v="17412.8"/>
    <n v="361.79999999999927"/>
    <n v="11.544230930985334"/>
    <n v="373.34423093098462"/>
    <n v="0"/>
    <n v="0"/>
    <n v="0"/>
    <n v="373.34423093098462"/>
  </r>
  <r>
    <x v="4"/>
    <d v="2021-06-03T00:00:00"/>
    <d v="2021-06-24T00:00:00"/>
    <x v="13"/>
    <n v="9"/>
    <n v="27"/>
    <n v="870.64"/>
    <n v="888.73"/>
    <n v="23995.71"/>
    <n v="23507.279999999999"/>
    <n v="488.43000000000029"/>
    <n v="15.584711756830202"/>
    <n v="504.01471175683048"/>
    <n v="0"/>
    <n v="0"/>
    <n v="0"/>
    <n v="504.01471175683048"/>
  </r>
  <r>
    <x v="5"/>
    <d v="2021-07-06T00:00:00"/>
    <d v="2021-07-24T00:00:00"/>
    <x v="13"/>
    <n v="9"/>
    <n v="32"/>
    <n v="870.64"/>
    <n v="888.73"/>
    <n v="28439.360000000001"/>
    <n v="27860.48"/>
    <n v="578.88000000000102"/>
    <n v="18.470769489576536"/>
    <n v="597.3507694895776"/>
    <n v="0"/>
    <n v="0"/>
    <n v="0"/>
    <n v="597.3507694895776"/>
  </r>
  <r>
    <x v="6"/>
    <d v="2021-08-04T00:00:00"/>
    <d v="2021-08-24T00:00:00"/>
    <x v="13"/>
    <n v="9"/>
    <n v="37"/>
    <n v="870.64"/>
    <n v="888.73"/>
    <n v="32883.01"/>
    <n v="32213.68"/>
    <n v="669.33000000000175"/>
    <n v="21.35682722232287"/>
    <n v="690.68682722232461"/>
    <n v="0"/>
    <n v="0"/>
    <n v="0"/>
    <n v="690.68682722232461"/>
  </r>
  <r>
    <x v="7"/>
    <d v="2021-09-03T00:00:00"/>
    <d v="2021-09-24T00:00:00"/>
    <x v="13"/>
    <n v="9"/>
    <n v="33"/>
    <n v="870.64"/>
    <n v="888.73"/>
    <n v="29328.09"/>
    <n v="28731.119999999999"/>
    <n v="596.97000000000116"/>
    <n v="19.047981036125801"/>
    <n v="616.01798103612691"/>
    <n v="0"/>
    <n v="0"/>
    <n v="0"/>
    <n v="616.01798103612691"/>
  </r>
  <r>
    <x v="8"/>
    <d v="2021-10-05T00:00:00"/>
    <d v="2021-10-25T00:00:00"/>
    <x v="13"/>
    <n v="9"/>
    <n v="37"/>
    <n v="870.64"/>
    <n v="888.73"/>
    <n v="32883.01"/>
    <n v="32213.68"/>
    <n v="669.33000000000175"/>
    <n v="21.35682722232287"/>
    <n v="690.68682722232461"/>
    <n v="0"/>
    <n v="0"/>
    <n v="0"/>
    <n v="690.68682722232461"/>
  </r>
  <r>
    <x v="9"/>
    <d v="2021-11-03T00:00:00"/>
    <d v="2021-11-24T00:00:00"/>
    <x v="13"/>
    <n v="9"/>
    <n v="27"/>
    <n v="870.64"/>
    <n v="888.73"/>
    <n v="23995.71"/>
    <n v="23507.279999999999"/>
    <n v="488.43000000000029"/>
    <n v="15.584711756830202"/>
    <n v="504.01471175683048"/>
    <n v="0"/>
    <n v="0"/>
    <n v="0"/>
    <n v="504.01471175683048"/>
  </r>
  <r>
    <x v="10"/>
    <d v="2021-12-03T00:00:00"/>
    <d v="2021-12-27T00:00:00"/>
    <x v="13"/>
    <n v="9"/>
    <n v="16"/>
    <n v="870.64"/>
    <n v="888.73"/>
    <n v="14219.68"/>
    <n v="13930.24"/>
    <n v="289.44000000000051"/>
    <n v="9.2353847447882682"/>
    <n v="298.6753847447888"/>
    <n v="0"/>
    <n v="0"/>
    <n v="0"/>
    <n v="298.6753847447888"/>
  </r>
  <r>
    <x v="11"/>
    <d v="2022-01-05T00:00:00"/>
    <d v="2022-01-24T00:00:00"/>
    <x v="13"/>
    <n v="9"/>
    <n v="19"/>
    <n v="870.64"/>
    <n v="888.73"/>
    <n v="16885.87"/>
    <n v="16542.16"/>
    <n v="343.70999999999913"/>
    <n v="10.967019384436067"/>
    <n v="354.6770193844352"/>
    <n v="0"/>
    <n v="0"/>
    <n v="0"/>
    <n v="354.6770193844352"/>
  </r>
  <r>
    <x v="0"/>
    <d v="2021-02-03T00:00:00"/>
    <d v="2021-02-24T00:00:00"/>
    <x v="14"/>
    <n v="9"/>
    <n v="35"/>
    <n v="870.64"/>
    <n v="888.73"/>
    <n v="31105.55"/>
    <n v="30472.399999999998"/>
    <n v="633.15000000000146"/>
    <n v="20.202404129224337"/>
    <n v="653.35240412922576"/>
    <n v="0"/>
    <n v="0"/>
    <n v="0"/>
    <n v="653.35240412922576"/>
  </r>
  <r>
    <x v="1"/>
    <d v="2021-03-03T00:00:00"/>
    <d v="2021-03-24T00:00:00"/>
    <x v="14"/>
    <n v="9"/>
    <n v="33"/>
    <n v="870.64"/>
    <n v="888.73"/>
    <n v="29328.09"/>
    <n v="28731.119999999999"/>
    <n v="596.97000000000116"/>
    <n v="19.047981036125801"/>
    <n v="616.01798103612691"/>
    <n v="0"/>
    <n v="0"/>
    <n v="0"/>
    <n v="616.01798103612691"/>
  </r>
  <r>
    <x v="2"/>
    <d v="2021-04-05T00:00:00"/>
    <d v="2021-04-26T00:00:00"/>
    <x v="14"/>
    <n v="9"/>
    <n v="30"/>
    <n v="870.64"/>
    <n v="888.73"/>
    <n v="26661.9"/>
    <n v="26119.200000000001"/>
    <n v="542.70000000000073"/>
    <n v="17.316346396478004"/>
    <n v="560.01634639647875"/>
    <n v="0"/>
    <n v="0"/>
    <n v="0"/>
    <n v="560.01634639647875"/>
  </r>
  <r>
    <x v="3"/>
    <d v="2021-05-05T00:00:00"/>
    <d v="2021-05-24T00:00:00"/>
    <x v="14"/>
    <n v="9"/>
    <n v="32"/>
    <n v="870.64"/>
    <n v="888.73"/>
    <n v="28439.360000000001"/>
    <n v="27860.48"/>
    <n v="578.88000000000102"/>
    <n v="18.470769489576536"/>
    <n v="597.3507694895776"/>
    <n v="0"/>
    <n v="0"/>
    <n v="0"/>
    <n v="597.3507694895776"/>
  </r>
  <r>
    <x v="4"/>
    <d v="2021-06-03T00:00:00"/>
    <d v="2021-06-24T00:00:00"/>
    <x v="14"/>
    <n v="9"/>
    <n v="40"/>
    <n v="870.64"/>
    <n v="888.73"/>
    <n v="35549.199999999997"/>
    <n v="34825.599999999999"/>
    <n v="723.59999999999854"/>
    <n v="23.088461861970668"/>
    <n v="746.68846186196924"/>
    <n v="0"/>
    <n v="0"/>
    <n v="0"/>
    <n v="746.68846186196924"/>
  </r>
  <r>
    <x v="5"/>
    <d v="2021-07-06T00:00:00"/>
    <d v="2021-07-24T00:00:00"/>
    <x v="14"/>
    <n v="9"/>
    <n v="46"/>
    <n v="870.64"/>
    <n v="888.73"/>
    <n v="40881.58"/>
    <n v="40049.440000000002"/>
    <n v="832.13999999999942"/>
    <n v="26.55173114126627"/>
    <n v="858.69173114126568"/>
    <n v="0"/>
    <n v="0"/>
    <n v="0"/>
    <n v="858.69173114126568"/>
  </r>
  <r>
    <x v="6"/>
    <d v="2021-08-04T00:00:00"/>
    <d v="2021-08-24T00:00:00"/>
    <x v="14"/>
    <n v="9"/>
    <n v="48"/>
    <n v="870.64"/>
    <n v="888.73"/>
    <n v="42659.040000000001"/>
    <n v="41790.720000000001"/>
    <n v="868.31999999999971"/>
    <n v="27.706154234364803"/>
    <n v="896.02615423436453"/>
    <n v="0"/>
    <n v="0"/>
    <n v="0"/>
    <n v="896.02615423436453"/>
  </r>
  <r>
    <x v="7"/>
    <d v="2021-09-03T00:00:00"/>
    <d v="2021-09-24T00:00:00"/>
    <x v="14"/>
    <n v="9"/>
    <n v="50"/>
    <n v="870.64"/>
    <n v="888.73"/>
    <n v="44436.5"/>
    <n v="43532"/>
    <n v="904.5"/>
    <n v="28.860577327463339"/>
    <n v="933.36057732746337"/>
    <n v="0"/>
    <n v="0"/>
    <n v="0"/>
    <n v="933.36057732746337"/>
  </r>
  <r>
    <x v="8"/>
    <d v="2021-10-05T00:00:00"/>
    <d v="2021-10-25T00:00:00"/>
    <x v="14"/>
    <n v="9"/>
    <n v="52"/>
    <n v="870.64"/>
    <n v="888.73"/>
    <n v="46213.96"/>
    <n v="45273.279999999999"/>
    <n v="940.68000000000029"/>
    <n v="30.015000420561872"/>
    <n v="970.69500042056211"/>
    <n v="0"/>
    <n v="0"/>
    <n v="0"/>
    <n v="970.69500042056211"/>
  </r>
  <r>
    <x v="9"/>
    <d v="2021-11-03T00:00:00"/>
    <d v="2021-11-24T00:00:00"/>
    <x v="14"/>
    <n v="9"/>
    <n v="40"/>
    <n v="870.64"/>
    <n v="888.73"/>
    <n v="35549.199999999997"/>
    <n v="34825.599999999999"/>
    <n v="723.59999999999854"/>
    <n v="23.088461861970668"/>
    <n v="746.68846186196924"/>
    <n v="0"/>
    <n v="0"/>
    <n v="0"/>
    <n v="746.68846186196924"/>
  </r>
  <r>
    <x v="10"/>
    <d v="2021-12-03T00:00:00"/>
    <d v="2021-12-27T00:00:00"/>
    <x v="14"/>
    <n v="9"/>
    <n v="32"/>
    <n v="870.64"/>
    <n v="888.73"/>
    <n v="28439.360000000001"/>
    <n v="27860.48"/>
    <n v="578.88000000000102"/>
    <n v="18.470769489576536"/>
    <n v="597.3507694895776"/>
    <n v="0"/>
    <n v="0"/>
    <n v="0"/>
    <n v="597.3507694895776"/>
  </r>
  <r>
    <x v="11"/>
    <d v="2022-01-05T00:00:00"/>
    <d v="2022-01-24T00:00:00"/>
    <x v="14"/>
    <n v="9"/>
    <n v="35"/>
    <n v="870.64"/>
    <n v="888.73"/>
    <n v="31105.55"/>
    <n v="30472.399999999998"/>
    <n v="633.15000000000146"/>
    <n v="20.202404129224337"/>
    <n v="653.35240412922576"/>
    <n v="0"/>
    <n v="0"/>
    <n v="0"/>
    <n v="653.35240412922576"/>
  </r>
  <r>
    <x v="0"/>
    <d v="2021-02-03T00:00:00"/>
    <d v="2021-02-24T00:00:00"/>
    <x v="15"/>
    <n v="9"/>
    <n v="94"/>
    <n v="870.64"/>
    <n v="888.73"/>
    <n v="83540.62"/>
    <n v="81840.160000000003"/>
    <n v="1700.4599999999919"/>
    <n v="54.257885375631076"/>
    <n v="1754.7178853756229"/>
    <n v="0"/>
    <n v="0"/>
    <n v="0"/>
    <n v="1754.7178853756229"/>
  </r>
  <r>
    <x v="1"/>
    <d v="2021-03-03T00:00:00"/>
    <d v="2021-03-24T00:00:00"/>
    <x v="15"/>
    <n v="9"/>
    <n v="100"/>
    <n v="870.64"/>
    <n v="888.73"/>
    <n v="88873"/>
    <n v="87064"/>
    <n v="1809"/>
    <n v="57.721154654926679"/>
    <n v="1866.7211546549267"/>
    <n v="0"/>
    <n v="0"/>
    <n v="0"/>
    <n v="1866.7211546549267"/>
  </r>
  <r>
    <x v="2"/>
    <d v="2021-04-05T00:00:00"/>
    <d v="2021-04-26T00:00:00"/>
    <x v="15"/>
    <n v="9"/>
    <n v="101"/>
    <n v="870.64"/>
    <n v="888.73"/>
    <n v="89761.73"/>
    <n v="87934.64"/>
    <n v="1827.0899999999965"/>
    <n v="58.298366201475943"/>
    <n v="1885.3883662014725"/>
    <n v="0"/>
    <n v="0"/>
    <n v="0"/>
    <n v="1885.3883662014725"/>
  </r>
  <r>
    <x v="3"/>
    <d v="2021-05-05T00:00:00"/>
    <d v="2021-05-24T00:00:00"/>
    <x v="15"/>
    <n v="9"/>
    <n v="98"/>
    <n v="870.64"/>
    <n v="888.73"/>
    <n v="87095.540000000008"/>
    <n v="85322.72"/>
    <n v="1772.820000000007"/>
    <n v="56.566731561828149"/>
    <n v="1829.3867315618352"/>
    <n v="0"/>
    <n v="0"/>
    <n v="0"/>
    <n v="1829.3867315618352"/>
  </r>
  <r>
    <x v="4"/>
    <d v="2021-06-03T00:00:00"/>
    <d v="2021-06-24T00:00:00"/>
    <x v="15"/>
    <n v="9"/>
    <n v="99"/>
    <n v="870.64"/>
    <n v="888.73"/>
    <n v="87984.27"/>
    <n v="86193.36"/>
    <n v="1790.9100000000035"/>
    <n v="57.143943108377414"/>
    <n v="1848.053943108381"/>
    <n v="0"/>
    <n v="0"/>
    <n v="0"/>
    <n v="1848.053943108381"/>
  </r>
  <r>
    <x v="5"/>
    <d v="2021-07-06T00:00:00"/>
    <d v="2021-07-24T00:00:00"/>
    <x v="15"/>
    <n v="9"/>
    <n v="113"/>
    <n v="870.64"/>
    <n v="888.73"/>
    <n v="100426.49"/>
    <n v="98382.319999999992"/>
    <n v="2044.1700000000128"/>
    <n v="65.224904760067147"/>
    <n v="2109.39490476008"/>
    <n v="0"/>
    <n v="0"/>
    <n v="0"/>
    <n v="2109.39490476008"/>
  </r>
  <r>
    <x v="6"/>
    <d v="2021-08-04T00:00:00"/>
    <d v="2021-08-24T00:00:00"/>
    <x v="15"/>
    <n v="9"/>
    <n v="116"/>
    <n v="870.64"/>
    <n v="888.73"/>
    <n v="103092.68000000001"/>
    <n v="100994.24000000001"/>
    <n v="2098.4400000000023"/>
    <n v="66.956539399714941"/>
    <n v="2165.3965393997173"/>
    <n v="0"/>
    <n v="0"/>
    <n v="0"/>
    <n v="2165.3965393997173"/>
  </r>
  <r>
    <x v="7"/>
    <d v="2021-09-03T00:00:00"/>
    <d v="2021-09-24T00:00:00"/>
    <x v="15"/>
    <n v="9"/>
    <n v="116"/>
    <n v="870.64"/>
    <n v="888.73"/>
    <n v="103092.68000000001"/>
    <n v="100994.24000000001"/>
    <n v="2098.4400000000023"/>
    <n v="66.956539399714941"/>
    <n v="2165.3965393997173"/>
    <n v="0"/>
    <n v="0"/>
    <n v="0"/>
    <n v="2165.3965393997173"/>
  </r>
  <r>
    <x v="8"/>
    <d v="2021-10-05T00:00:00"/>
    <d v="2021-10-25T00:00:00"/>
    <x v="15"/>
    <n v="9"/>
    <n v="116"/>
    <n v="870.64"/>
    <n v="888.73"/>
    <n v="103092.68000000001"/>
    <n v="100994.24000000001"/>
    <n v="2098.4400000000023"/>
    <n v="66.956539399714941"/>
    <n v="2165.3965393997173"/>
    <n v="0"/>
    <n v="0"/>
    <n v="0"/>
    <n v="2165.3965393997173"/>
  </r>
  <r>
    <x v="9"/>
    <d v="2021-11-03T00:00:00"/>
    <d v="2021-11-24T00:00:00"/>
    <x v="15"/>
    <n v="9"/>
    <n v="105"/>
    <n v="870.64"/>
    <n v="888.73"/>
    <n v="93316.650000000009"/>
    <n v="91417.2"/>
    <n v="1899.4500000000116"/>
    <n v="60.607212387673009"/>
    <n v="1960.0572123876846"/>
    <n v="0"/>
    <n v="0"/>
    <n v="0"/>
    <n v="1960.0572123876846"/>
  </r>
  <r>
    <x v="10"/>
    <d v="2021-12-03T00:00:00"/>
    <d v="2021-12-27T00:00:00"/>
    <x v="15"/>
    <n v="9"/>
    <n v="100"/>
    <n v="870.64"/>
    <n v="888.73"/>
    <n v="88873"/>
    <n v="87064"/>
    <n v="1809"/>
    <n v="57.721154654926679"/>
    <n v="1866.7211546549267"/>
    <n v="0"/>
    <n v="0"/>
    <n v="0"/>
    <n v="1866.7211546549267"/>
  </r>
  <r>
    <x v="11"/>
    <d v="2022-01-05T00:00:00"/>
    <d v="2022-01-24T00:00:00"/>
    <x v="15"/>
    <n v="9"/>
    <n v="103"/>
    <n v="870.64"/>
    <n v="888.73"/>
    <n v="91539.19"/>
    <n v="89675.92"/>
    <n v="1863.2700000000041"/>
    <n v="59.45278929457448"/>
    <n v="1922.7227892945787"/>
    <n v="0"/>
    <n v="0"/>
    <n v="0"/>
    <n v="1922.722789294578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2" cacheId="114" dataOnRows="1" applyNumberFormats="0" applyBorderFormats="0" applyFontFormats="0" applyPatternFormats="0" applyAlignmentFormats="0" applyWidthHeightFormats="1" dataCaption="Data" updatedVersion="7" minRefreshableVersion="3" asteriskTotals="1" showMemberPropertyTips="0" useAutoFormatting="1" itemPrintTitles="1" createdVersion="6" indent="0" compact="0" compactData="0" gridDropZones="1">
  <location ref="A3:O123" firstHeaderRow="1" firstDataRow="2" firstDataCol="2"/>
  <pivotFields count="17">
    <pivotField axis="axisCol" compact="0" numFmtId="17" outline="0" subtotalTop="0" showAll="0" includeNewItemsInFilter="1">
      <items count="145">
        <item m="1" x="53"/>
        <item m="1" x="75"/>
        <item m="1" x="97"/>
        <item m="1" x="119"/>
        <item m="1" x="141"/>
        <item m="1" x="31"/>
        <item m="1" x="64"/>
        <item m="1" x="86"/>
        <item m="1" x="108"/>
        <item m="1" x="130"/>
        <item m="1" x="20"/>
        <item m="1" x="42"/>
        <item m="1" x="54"/>
        <item m="1" x="76"/>
        <item m="1" x="98"/>
        <item m="1" x="120"/>
        <item m="1" x="142"/>
        <item m="1" x="32"/>
        <item m="1" x="65"/>
        <item m="1" x="87"/>
        <item m="1" x="109"/>
        <item m="1" x="131"/>
        <item m="1" x="21"/>
        <item m="1" x="43"/>
        <item m="1" x="55"/>
        <item m="1" x="77"/>
        <item m="1" x="99"/>
        <item m="1" x="121"/>
        <item m="1" x="143"/>
        <item m="1" x="33"/>
        <item m="1" x="66"/>
        <item m="1" x="88"/>
        <item m="1" x="110"/>
        <item m="1" x="132"/>
        <item m="1" x="22"/>
        <item m="1" x="44"/>
        <item m="1" x="56"/>
        <item m="1" x="78"/>
        <item m="1" x="100"/>
        <item m="1" x="122"/>
        <item m="1" x="12"/>
        <item m="1" x="34"/>
        <item m="1" x="67"/>
        <item m="1" x="89"/>
        <item m="1" x="111"/>
        <item m="1" x="133"/>
        <item m="1" x="23"/>
        <item m="1" x="45"/>
        <item m="1" x="57"/>
        <item m="1" x="79"/>
        <item m="1" x="101"/>
        <item m="1" x="123"/>
        <item m="1" x="13"/>
        <item m="1" x="35"/>
        <item m="1" x="68"/>
        <item m="1" x="90"/>
        <item m="1" x="112"/>
        <item m="1" x="134"/>
        <item m="1" x="24"/>
        <item m="1" x="46"/>
        <item m="1" x="58"/>
        <item m="1" x="80"/>
        <item m="1" x="102"/>
        <item m="1" x="124"/>
        <item m="1" x="14"/>
        <item m="1" x="36"/>
        <item m="1" x="69"/>
        <item m="1" x="91"/>
        <item m="1" x="113"/>
        <item m="1" x="135"/>
        <item m="1" x="25"/>
        <item m="1" x="47"/>
        <item m="1" x="59"/>
        <item m="1" x="81"/>
        <item m="1" x="103"/>
        <item m="1" x="125"/>
        <item m="1" x="15"/>
        <item m="1" x="37"/>
        <item m="1" x="70"/>
        <item m="1" x="92"/>
        <item m="1" x="114"/>
        <item m="1" x="136"/>
        <item m="1" x="26"/>
        <item m="1" x="48"/>
        <item m="1" x="60"/>
        <item m="1" x="82"/>
        <item m="1" x="104"/>
        <item m="1" x="126"/>
        <item m="1" x="16"/>
        <item m="1" x="38"/>
        <item m="1" x="71"/>
        <item m="1" x="93"/>
        <item m="1" x="115"/>
        <item m="1" x="137"/>
        <item m="1" x="27"/>
        <item m="1" x="49"/>
        <item m="1" x="61"/>
        <item m="1" x="83"/>
        <item m="1" x="105"/>
        <item m="1" x="127"/>
        <item m="1" x="17"/>
        <item m="1" x="39"/>
        <item m="1" x="72"/>
        <item m="1" x="94"/>
        <item m="1" x="116"/>
        <item m="1" x="138"/>
        <item m="1" x="28"/>
        <item m="1" x="50"/>
        <item m="1" x="62"/>
        <item m="1" x="84"/>
        <item m="1" x="106"/>
        <item m="1" x="128"/>
        <item m="1" x="18"/>
        <item m="1" x="40"/>
        <item m="1" x="73"/>
        <item m="1" x="95"/>
        <item m="1" x="117"/>
        <item m="1" x="139"/>
        <item m="1" x="29"/>
        <item m="1" x="51"/>
        <item m="1" x="63"/>
        <item m="1" x="85"/>
        <item m="1" x="107"/>
        <item m="1" x="129"/>
        <item m="1" x="19"/>
        <item m="1" x="41"/>
        <item m="1" x="74"/>
        <item m="1" x="96"/>
        <item m="1" x="118"/>
        <item m="1" x="140"/>
        <item m="1" x="30"/>
        <item m="1" x="52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compact="0" numFmtId="14" outline="0" subtotalTop="0" showAll="0" includeNewItemsInFilter="1"/>
    <pivotField compact="0" numFmtId="14" outline="0" subtotalTop="0" showAll="0" includeNewItemsInFilter="1"/>
    <pivotField axis="axisRow" compact="0" outline="0" subtotalTop="0" showAll="0" includeNewItemsInFilter="1">
      <items count="23">
        <item x="3"/>
        <item m="1" x="16"/>
        <item x="15"/>
        <item x="8"/>
        <item x="9"/>
        <item m="1" x="17"/>
        <item x="10"/>
        <item m="1" x="18"/>
        <item x="7"/>
        <item x="6"/>
        <item m="1" x="20"/>
        <item x="0"/>
        <item x="1"/>
        <item m="1" x="19"/>
        <item x="5"/>
        <item m="1" x="21"/>
        <item x="11"/>
        <item x="12"/>
        <item x="13"/>
        <item x="14"/>
        <item x="2"/>
        <item x="4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numFmtId="164" outline="0" subtotalTop="0" showAll="0" includeNewItemsInFilter="1"/>
    <pivotField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compact="0" numFmtId="164" outline="0" showAll="0" defaultSubtotal="0"/>
    <pivotField compact="0" numFmtId="164" outline="0" subtotalTop="0" showAll="0" includeNewItemsInFilter="1" defaultSubtotal="0"/>
    <pivotField dataField="1" compact="0" numFmtId="164" outline="0" subtotalTop="0" showAll="0" includeNewItemsInFilter="1" defaultSubtotal="0"/>
    <pivotField dataField="1" compact="0" numFmtId="164" outline="0" subtotalTop="0" showAll="0" includeNewItemsInFilter="1" defaultSubtotal="0"/>
    <pivotField dataField="1" compact="0" numFmtId="164" outline="0" subtotalTop="0" showAll="0" includeNewItemsInFilter="1"/>
  </pivotFields>
  <rowFields count="2">
    <field x="3"/>
    <field x="-2"/>
  </rowFields>
  <rowItems count="119">
    <i>
      <x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3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4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6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8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9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1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2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4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6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7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8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9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0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1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t="grand">
      <x/>
    </i>
    <i t="grand" i="1">
      <x/>
    </i>
    <i t="grand" i="2">
      <x/>
    </i>
    <i t="grand" i="3">
      <x/>
    </i>
    <i t="grand" i="4">
      <x/>
    </i>
    <i t="grand" i="5">
      <x/>
    </i>
    <i t="grand" i="6">
      <x/>
    </i>
  </rowItems>
  <colFields count="1">
    <field x="0"/>
  </colFields>
  <colItems count="13"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 t="grand">
      <x/>
    </i>
  </colItems>
  <dataFields count="7">
    <dataField name="Sum of True-Up Charge" fld="8" baseField="0" baseItem="0"/>
    <dataField name="Sum of True-Up w/o Interest" fld="10" baseField="0" baseItem="0"/>
    <dataField name="Sum of Interest" fld="11" baseField="0" baseItem="0"/>
    <dataField name="Sum of Total True-up" fld="16" baseField="0" baseItem="0"/>
    <dataField name="Sum of Invoiced*** Charge (proj.)" fld="9" baseField="0" baseItem="0"/>
    <dataField name="Sum of Tax True Up Billing" fld="14" baseField="0" baseItem="0"/>
    <dataField name="Sum of Tax True Up" fld="15" baseField="0" baseItem="0"/>
  </dataFields>
  <formats count="171">
    <format dxfId="170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0"/>
          </reference>
        </references>
      </pivotArea>
    </format>
    <format dxfId="169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0"/>
          </reference>
        </references>
      </pivotArea>
    </format>
    <format dxfId="168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"/>
          </reference>
        </references>
      </pivotArea>
    </format>
    <format dxfId="167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2"/>
          </reference>
        </references>
      </pivotArea>
    </format>
    <format dxfId="166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3"/>
          </reference>
        </references>
      </pivotArea>
    </format>
    <format dxfId="165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4"/>
          </reference>
        </references>
      </pivotArea>
    </format>
    <format dxfId="164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5"/>
          </reference>
        </references>
      </pivotArea>
    </format>
    <format dxfId="163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6"/>
          </reference>
        </references>
      </pivotArea>
    </format>
    <format dxfId="162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7"/>
          </reference>
        </references>
      </pivotArea>
    </format>
    <format dxfId="161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8"/>
          </reference>
        </references>
      </pivotArea>
    </format>
    <format dxfId="160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9"/>
          </reference>
        </references>
      </pivotArea>
    </format>
    <format dxfId="159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0"/>
          </reference>
        </references>
      </pivotArea>
    </format>
    <format dxfId="158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1"/>
          </reference>
        </references>
      </pivotArea>
    </format>
    <format dxfId="157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2"/>
          </reference>
        </references>
      </pivotArea>
    </format>
    <format dxfId="156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3"/>
          </reference>
        </references>
      </pivotArea>
    </format>
    <format dxfId="155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4"/>
          </reference>
        </references>
      </pivotArea>
    </format>
    <format dxfId="154">
      <pivotArea field="3" grandRow="1" outline="0" axis="axisRow" fieldPosition="0">
        <references count="1">
          <reference field="4294967294" count="3" selected="0">
            <x v="1"/>
            <x v="2"/>
            <x v="3"/>
          </reference>
        </references>
      </pivotArea>
    </format>
    <format dxfId="153">
      <pivotArea outline="0" fieldPosition="0">
        <references count="3">
          <reference field="4294967294" count="1" selected="0">
            <x v="2"/>
          </reference>
          <reference field="0" count="1" selected="0">
            <x v="60"/>
          </reference>
          <reference field="3" count="1" selected="0">
            <x v="20"/>
          </reference>
        </references>
      </pivotArea>
    </format>
    <format dxfId="152">
      <pivotArea outline="0" fieldPosition="0">
        <references count="3">
          <reference field="4294967294" count="1" selected="0">
            <x v="3"/>
          </reference>
          <reference field="0" count="1" selected="0">
            <x v="60"/>
          </reference>
          <reference field="3" count="1" selected="0">
            <x v="20"/>
          </reference>
        </references>
      </pivotArea>
    </format>
    <format dxfId="151">
      <pivotArea grandRow="1" grandCol="1" outline="0" fieldPosition="0">
        <references count="1">
          <reference field="4294967294" count="5" selected="0">
            <x v="0"/>
            <x v="1"/>
            <x v="2"/>
            <x v="3"/>
            <x v="4"/>
          </reference>
        </references>
      </pivotArea>
    </format>
    <format dxfId="150">
      <pivotArea outline="0" fieldPosition="0"/>
    </format>
    <format dxfId="149">
      <pivotArea type="all" dataOnly="0" outline="0" fieldPosition="0"/>
    </format>
    <format dxfId="148">
      <pivotArea outline="0" fieldPosition="0"/>
    </format>
    <format dxfId="147">
      <pivotArea type="origin" dataOnly="0" labelOnly="1" outline="0" fieldPosition="0"/>
    </format>
    <format dxfId="146">
      <pivotArea field="0" type="button" dataOnly="0" labelOnly="1" outline="0" axis="axisCol" fieldPosition="0"/>
    </format>
    <format dxfId="145">
      <pivotArea type="topRight" dataOnly="0" labelOnly="1" outline="0" fieldPosition="0"/>
    </format>
    <format dxfId="144">
      <pivotArea field="3" type="button" dataOnly="0" labelOnly="1" outline="0" axis="axisRow" fieldPosition="0"/>
    </format>
    <format dxfId="143">
      <pivotArea field="-2" type="button" dataOnly="0" labelOnly="1" outline="0" axis="axisRow" fieldPosition="1"/>
    </format>
    <format dxfId="142">
      <pivotArea dataOnly="0" labelOnly="1" outline="0" fieldPosition="0">
        <references count="1">
          <reference field="3" count="0"/>
        </references>
      </pivotArea>
    </format>
    <format dxfId="141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40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39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38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37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36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35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34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33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32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31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30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29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28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27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26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25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24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23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22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21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20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19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18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17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16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15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14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13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12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11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10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09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08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07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06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05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04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03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02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01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00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99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98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97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96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95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94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93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9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0"/>
          </reference>
        </references>
      </pivotArea>
    </format>
    <format dxfId="9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"/>
          </reference>
        </references>
      </pivotArea>
    </format>
    <format dxfId="9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3"/>
          </reference>
        </references>
      </pivotArea>
    </format>
    <format dxfId="8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4"/>
          </reference>
        </references>
      </pivotArea>
    </format>
    <format dxfId="8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6"/>
          </reference>
        </references>
      </pivotArea>
    </format>
    <format dxfId="8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8"/>
          </reference>
        </references>
      </pivotArea>
    </format>
    <format dxfId="8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9"/>
          </reference>
        </references>
      </pivotArea>
    </format>
    <format dxfId="8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1"/>
          </reference>
        </references>
      </pivotArea>
    </format>
    <format dxfId="8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2"/>
          </reference>
        </references>
      </pivotArea>
    </format>
    <format dxfId="8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4"/>
          </reference>
        </references>
      </pivotArea>
    </format>
    <format dxfId="8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6"/>
          </reference>
        </references>
      </pivotArea>
    </format>
    <format dxfId="8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7"/>
          </reference>
        </references>
      </pivotArea>
    </format>
    <format dxfId="8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7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9"/>
          </reference>
        </references>
      </pivotArea>
    </format>
    <format dxfId="7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0"/>
          </reference>
        </references>
      </pivotArea>
    </format>
    <format dxfId="7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1"/>
          </reference>
        </references>
      </pivotArea>
    </format>
    <format dxfId="76">
      <pivotArea dataOnly="0" labelOnly="1" outline="0" fieldPosition="0">
        <references count="1">
          <reference field="0" count="0"/>
        </references>
      </pivotArea>
    </format>
    <format dxfId="75">
      <pivotArea dataOnly="0" labelOnly="1" grandCol="1" outline="0" fieldPosition="0"/>
    </format>
    <format dxfId="74">
      <pivotArea type="all" dataOnly="0" outline="0" fieldPosition="0"/>
    </format>
    <format dxfId="73">
      <pivotArea outline="0" fieldPosition="0"/>
    </format>
    <format dxfId="72">
      <pivotArea type="origin" dataOnly="0" labelOnly="1" outline="0" fieldPosition="0"/>
    </format>
    <format dxfId="71">
      <pivotArea field="0" type="button" dataOnly="0" labelOnly="1" outline="0" axis="axisCol" fieldPosition="0"/>
    </format>
    <format dxfId="70">
      <pivotArea type="topRight" dataOnly="0" labelOnly="1" outline="0" fieldPosition="0"/>
    </format>
    <format dxfId="69">
      <pivotArea field="3" type="button" dataOnly="0" labelOnly="1" outline="0" axis="axisRow" fieldPosition="0"/>
    </format>
    <format dxfId="68">
      <pivotArea field="-2" type="button" dataOnly="0" labelOnly="1" outline="0" axis="axisRow" fieldPosition="1"/>
    </format>
    <format dxfId="67">
      <pivotArea dataOnly="0" labelOnly="1" outline="0" fieldPosition="0">
        <references count="1">
          <reference field="3" count="0"/>
        </references>
      </pivotArea>
    </format>
    <format dxfId="66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65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64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63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62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61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60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59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58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57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56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55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54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53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52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51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50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49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48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47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46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45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44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43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42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41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40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39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38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37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36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35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34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33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32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31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30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29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28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27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26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25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24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23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22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21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20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9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8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0"/>
          </reference>
        </references>
      </pivotArea>
    </format>
    <format dxfId="1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"/>
          </reference>
        </references>
      </pivotArea>
    </format>
    <format dxfId="1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3"/>
          </reference>
        </references>
      </pivotArea>
    </format>
    <format dxfId="1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4"/>
          </reference>
        </references>
      </pivotArea>
    </format>
    <format dxfId="1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6"/>
          </reference>
        </references>
      </pivotArea>
    </format>
    <format dxfId="1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8"/>
          </reference>
        </references>
      </pivotArea>
    </format>
    <format dxfId="1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9"/>
          </reference>
        </references>
      </pivotArea>
    </format>
    <format dxfId="1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1"/>
          </reference>
        </references>
      </pivotArea>
    </format>
    <format dxfId="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2"/>
          </reference>
        </references>
      </pivotArea>
    </format>
    <format dxfId="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4"/>
          </reference>
        </references>
      </pivotArea>
    </format>
    <format dxfId="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6"/>
          </reference>
        </references>
      </pivotArea>
    </format>
    <format dxfId="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7"/>
          </reference>
        </references>
      </pivotArea>
    </format>
    <format dxfId="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9"/>
          </reference>
        </references>
      </pivotArea>
    </format>
    <format dxfId="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0"/>
          </reference>
        </references>
      </pivotArea>
    </format>
    <format dxfId="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1"/>
          </reference>
        </references>
      </pivotArea>
    </format>
    <format dxfId="1">
      <pivotArea dataOnly="0" labelOnly="1" outline="0" fieldPosition="0">
        <references count="1">
          <reference field="0" count="0"/>
        </references>
      </pivotArea>
    </format>
    <format dxfId="0">
      <pivotArea dataOnly="0" labelOnly="1" grandCol="1"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workbookViewId="0">
      <selection activeCell="D7" sqref="D7"/>
    </sheetView>
  </sheetViews>
  <sheetFormatPr defaultColWidth="8.7109375" defaultRowHeight="12.75" x14ac:dyDescent="0.2"/>
  <cols>
    <col min="1" max="16384" width="8.7109375" style="1"/>
  </cols>
  <sheetData>
    <row r="1" spans="1:2" x14ac:dyDescent="0.2">
      <c r="A1" s="1" t="s">
        <v>63</v>
      </c>
    </row>
    <row r="3" spans="1:2" x14ac:dyDescent="0.2">
      <c r="A3" s="2">
        <v>1</v>
      </c>
      <c r="B3" s="3" t="s">
        <v>65</v>
      </c>
    </row>
    <row r="4" spans="1:2" x14ac:dyDescent="0.2">
      <c r="A4" s="2">
        <v>2</v>
      </c>
      <c r="B4" s="3" t="s">
        <v>64</v>
      </c>
    </row>
    <row r="5" spans="1:2" x14ac:dyDescent="0.2">
      <c r="A5" s="2">
        <v>3</v>
      </c>
      <c r="B5" s="3" t="s">
        <v>66</v>
      </c>
    </row>
    <row r="6" spans="1:2" x14ac:dyDescent="0.2">
      <c r="A6" s="2">
        <v>4</v>
      </c>
      <c r="B6" s="4" t="s">
        <v>80</v>
      </c>
    </row>
    <row r="7" spans="1:2" x14ac:dyDescent="0.2">
      <c r="A7" s="2">
        <v>5</v>
      </c>
      <c r="B7" s="3" t="s">
        <v>67</v>
      </c>
    </row>
    <row r="8" spans="1:2" x14ac:dyDescent="0.2">
      <c r="A8" s="2">
        <v>6</v>
      </c>
      <c r="B8" s="3" t="s">
        <v>68</v>
      </c>
    </row>
    <row r="9" spans="1:2" x14ac:dyDescent="0.2">
      <c r="A9" s="2">
        <v>7</v>
      </c>
      <c r="B9" s="5" t="s">
        <v>69</v>
      </c>
    </row>
    <row r="10" spans="1:2" x14ac:dyDescent="0.2">
      <c r="A10" s="2">
        <v>8</v>
      </c>
      <c r="B10" s="3" t="s">
        <v>72</v>
      </c>
    </row>
    <row r="11" spans="1:2" x14ac:dyDescent="0.2">
      <c r="A11" s="2"/>
      <c r="B11" s="3" t="s">
        <v>73</v>
      </c>
    </row>
    <row r="12" spans="1:2" x14ac:dyDescent="0.2">
      <c r="A12" s="2"/>
      <c r="B12" s="5" t="s">
        <v>74</v>
      </c>
    </row>
    <row r="13" spans="1:2" x14ac:dyDescent="0.2">
      <c r="A13" s="2"/>
      <c r="B13" s="5" t="s">
        <v>75</v>
      </c>
    </row>
    <row r="14" spans="1:2" x14ac:dyDescent="0.2">
      <c r="A14" s="2">
        <v>9</v>
      </c>
      <c r="B14" s="3" t="s">
        <v>76</v>
      </c>
    </row>
    <row r="15" spans="1:2" x14ac:dyDescent="0.2">
      <c r="A15" s="2">
        <v>10</v>
      </c>
      <c r="B15" s="3" t="s">
        <v>78</v>
      </c>
    </row>
    <row r="16" spans="1:2" x14ac:dyDescent="0.2">
      <c r="A16" s="2">
        <v>11</v>
      </c>
      <c r="B16" s="3" t="s">
        <v>79</v>
      </c>
    </row>
    <row r="17" spans="1:1" x14ac:dyDescent="0.2">
      <c r="A17" s="2"/>
    </row>
  </sheetData>
  <phoneticPr fontId="6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43"/>
  <sheetViews>
    <sheetView tabSelected="1" zoomScale="85" zoomScaleNormal="85" zoomScaleSheetLayoutView="100" workbookViewId="0">
      <selection activeCell="C9" sqref="C9"/>
    </sheetView>
  </sheetViews>
  <sheetFormatPr defaultColWidth="33.28515625" defaultRowHeight="12.75" x14ac:dyDescent="0.2"/>
  <cols>
    <col min="1" max="1" width="9.140625" style="1" customWidth="1"/>
    <col min="2" max="2" width="14" style="1" customWidth="1"/>
    <col min="3" max="3" width="21.85546875" style="1" customWidth="1"/>
    <col min="4" max="4" width="15.5703125" style="1" customWidth="1"/>
    <col min="5" max="16" width="14" style="1" customWidth="1"/>
    <col min="17" max="17" width="15" style="1" customWidth="1"/>
    <col min="18" max="110" width="31.7109375" style="1" customWidth="1"/>
    <col min="111" max="111" width="11.42578125" style="1" customWidth="1"/>
    <col min="112" max="16384" width="33.28515625" style="1"/>
  </cols>
  <sheetData>
    <row r="1" spans="2:19" x14ac:dyDescent="0.2">
      <c r="C1" s="252" t="str">
        <f>+Transactions!B1</f>
        <v>AEPTCo Formula Rate -- FERC Docket ER18-195</v>
      </c>
      <c r="D1" s="252"/>
      <c r="E1" s="252"/>
      <c r="F1" s="252"/>
      <c r="G1" s="252"/>
      <c r="H1" s="252"/>
      <c r="I1" s="252"/>
      <c r="L1" s="6">
        <v>2021</v>
      </c>
    </row>
    <row r="2" spans="2:19" x14ac:dyDescent="0.2">
      <c r="C2" s="252" t="s">
        <v>36</v>
      </c>
      <c r="D2" s="252"/>
      <c r="E2" s="252"/>
      <c r="F2" s="252"/>
      <c r="G2" s="252"/>
      <c r="H2" s="252"/>
      <c r="I2" s="252"/>
    </row>
    <row r="3" spans="2:19" x14ac:dyDescent="0.2">
      <c r="C3" s="252" t="str">
        <f>"for period 01/01/"&amp;F8&amp;" - 12/31/"&amp;F8</f>
        <v>for period 01/01/2021 - 12/31/2021</v>
      </c>
      <c r="D3" s="252"/>
      <c r="E3" s="252"/>
      <c r="F3" s="252"/>
      <c r="G3" s="252"/>
      <c r="H3" s="252"/>
      <c r="I3" s="252"/>
    </row>
    <row r="4" spans="2:19" x14ac:dyDescent="0.2">
      <c r="C4" s="252" t="s">
        <v>94</v>
      </c>
      <c r="D4" s="252"/>
      <c r="E4" s="252"/>
      <c r="F4" s="252"/>
      <c r="G4" s="252"/>
      <c r="H4" s="252"/>
      <c r="I4" s="252"/>
    </row>
    <row r="5" spans="2:19" x14ac:dyDescent="0.2">
      <c r="C5" s="7" t="str">
        <f>"Prepared:  May 24_, "&amp;L1+1&amp;""</f>
        <v>Prepared:  May 24_, 2022</v>
      </c>
      <c r="D5" s="8"/>
    </row>
    <row r="6" spans="2:19" x14ac:dyDescent="0.2">
      <c r="C6" s="9"/>
    </row>
    <row r="7" spans="2:19" x14ac:dyDescent="0.2">
      <c r="C7" s="10"/>
    </row>
    <row r="8" spans="2:19" ht="27.75" customHeight="1" thickBot="1" x14ac:dyDescent="0.25">
      <c r="F8" s="11">
        <f>Transactions!R1</f>
        <v>2021</v>
      </c>
    </row>
    <row r="9" spans="2:19" ht="20.25" customHeight="1" x14ac:dyDescent="0.2">
      <c r="E9" s="12" t="s">
        <v>93</v>
      </c>
      <c r="F9" s="13"/>
      <c r="G9" s="14"/>
      <c r="H9" s="15"/>
      <c r="L9" s="2"/>
    </row>
    <row r="10" spans="2:19" ht="42" customHeight="1" thickBot="1" x14ac:dyDescent="0.25">
      <c r="B10" s="16"/>
      <c r="E10" s="17" t="str">
        <f>"(per "&amp;$F8&amp;" Projections "&amp;$F8&amp;")"</f>
        <v>(per 2021 Projections 2021)</v>
      </c>
      <c r="F10" s="18" t="str">
        <f>"(per "&amp;F8+1&amp;" Update of May "&amp;F8+1&amp;")"</f>
        <v>(per 2022 Update of May 2022)</v>
      </c>
      <c r="G10" s="19"/>
      <c r="H10" s="20"/>
    </row>
    <row r="11" spans="2:19" ht="21.75" customHeight="1" x14ac:dyDescent="0.2">
      <c r="B11" s="21"/>
      <c r="C11" s="22" t="s">
        <v>39</v>
      </c>
      <c r="D11" s="23" t="s">
        <v>37</v>
      </c>
      <c r="E11" s="24">
        <f>Transactions!K2</f>
        <v>85543284.241230071</v>
      </c>
      <c r="F11" s="25"/>
      <c r="G11" s="26"/>
      <c r="H11" s="27"/>
    </row>
    <row r="12" spans="2:19" ht="21.75" customHeight="1" x14ac:dyDescent="0.2">
      <c r="B12" s="21"/>
      <c r="C12" s="28"/>
      <c r="D12" s="29" t="s">
        <v>42</v>
      </c>
      <c r="E12" s="30"/>
      <c r="F12" s="31">
        <f>+Transactions!J2</f>
        <v>87371503.16904752</v>
      </c>
      <c r="G12" s="32"/>
      <c r="H12" s="33"/>
      <c r="K12" s="34"/>
    </row>
    <row r="13" spans="2:19" ht="21.75" customHeight="1" x14ac:dyDescent="0.2">
      <c r="B13" s="35"/>
      <c r="C13" s="36" t="s">
        <v>40</v>
      </c>
      <c r="D13" s="37" t="s">
        <v>38</v>
      </c>
      <c r="E13" s="38">
        <f>Transactions!K3</f>
        <v>870.64</v>
      </c>
      <c r="F13" s="33"/>
      <c r="G13" s="39"/>
      <c r="H13" s="40"/>
      <c r="K13" s="41"/>
    </row>
    <row r="14" spans="2:19" ht="21.75" customHeight="1" thickBot="1" x14ac:dyDescent="0.25">
      <c r="B14" s="16"/>
      <c r="C14" s="42"/>
      <c r="D14" s="43" t="s">
        <v>41</v>
      </c>
      <c r="E14" s="44"/>
      <c r="F14" s="45">
        <f>+Transactions!J3</f>
        <v>888.73</v>
      </c>
      <c r="G14" s="46"/>
      <c r="H14" s="33"/>
      <c r="K14" s="34"/>
    </row>
    <row r="15" spans="2:19" x14ac:dyDescent="0.2">
      <c r="B15" s="21"/>
      <c r="E15" s="47"/>
      <c r="K15" s="41"/>
    </row>
    <row r="16" spans="2:19" x14ac:dyDescent="0.2">
      <c r="B16" s="35"/>
      <c r="C16" s="35"/>
      <c r="D16" s="48"/>
      <c r="E16" s="35"/>
      <c r="F16" s="49"/>
      <c r="G16" s="50"/>
      <c r="H16" s="50"/>
      <c r="K16" s="51"/>
      <c r="L16" s="47"/>
      <c r="N16" s="52"/>
      <c r="O16" s="53"/>
      <c r="P16" s="53"/>
      <c r="Q16" s="53"/>
      <c r="R16" s="53"/>
      <c r="S16" s="53"/>
    </row>
    <row r="17" spans="2:19" x14ac:dyDescent="0.2">
      <c r="C17" s="10"/>
      <c r="K17" s="41"/>
      <c r="N17" s="54"/>
      <c r="O17" s="53"/>
      <c r="P17" s="53"/>
      <c r="Q17" s="53"/>
      <c r="R17" s="53"/>
      <c r="S17" s="53"/>
    </row>
    <row r="18" spans="2:19" x14ac:dyDescent="0.2">
      <c r="C18" s="52"/>
      <c r="D18" s="52"/>
      <c r="E18" s="52"/>
      <c r="F18" s="52"/>
      <c r="G18" s="52"/>
      <c r="H18" s="52"/>
      <c r="I18" s="52"/>
      <c r="N18" s="52"/>
      <c r="O18" s="53"/>
      <c r="P18" s="53"/>
      <c r="Q18" s="53"/>
      <c r="R18" s="53"/>
      <c r="S18" s="53"/>
    </row>
    <row r="19" spans="2:19" ht="21" customHeight="1" thickBot="1" x14ac:dyDescent="0.25">
      <c r="C19" s="55" t="s">
        <v>31</v>
      </c>
      <c r="D19" s="55" t="s">
        <v>32</v>
      </c>
      <c r="E19" s="56" t="s">
        <v>33</v>
      </c>
      <c r="F19" s="56" t="s">
        <v>34</v>
      </c>
      <c r="G19" s="55" t="s">
        <v>35</v>
      </c>
      <c r="H19" s="55" t="s">
        <v>92</v>
      </c>
      <c r="I19" s="56" t="s">
        <v>91</v>
      </c>
      <c r="J19" s="57" t="s">
        <v>95</v>
      </c>
      <c r="K19" s="58" t="s">
        <v>96</v>
      </c>
      <c r="N19" s="52"/>
      <c r="O19" s="53"/>
      <c r="P19" s="53"/>
      <c r="Q19" s="53"/>
      <c r="R19" s="53"/>
      <c r="S19" s="53"/>
    </row>
    <row r="20" spans="2:19" ht="53.25" customHeight="1" x14ac:dyDescent="0.2">
      <c r="C20" s="59" t="s">
        <v>50</v>
      </c>
      <c r="D20" s="60" t="str">
        <f>"Actual Charge
("&amp;F8&amp;" True-Up)"</f>
        <v>Actual Charge
(2021 True-Up)</v>
      </c>
      <c r="E20" s="61" t="str">
        <f>"Invoiced for
CY"&amp;F8&amp;" Transmission Service"</f>
        <v>Invoiced for
CY2021 Transmission Service</v>
      </c>
      <c r="F20" s="60" t="s">
        <v>101</v>
      </c>
      <c r="G20" s="62" t="s">
        <v>102</v>
      </c>
      <c r="H20" s="62" t="s">
        <v>99</v>
      </c>
      <c r="I20" s="60" t="s">
        <v>103</v>
      </c>
      <c r="J20" s="63" t="s">
        <v>100</v>
      </c>
      <c r="K20" s="64" t="s">
        <v>104</v>
      </c>
      <c r="N20" s="52"/>
      <c r="O20" s="53"/>
      <c r="P20" s="53"/>
      <c r="Q20" s="53"/>
      <c r="R20" s="53"/>
      <c r="S20" s="53"/>
    </row>
    <row r="21" spans="2:19" x14ac:dyDescent="0.2">
      <c r="B21" s="65"/>
      <c r="C21" s="66" t="s">
        <v>14</v>
      </c>
      <c r="D21" s="67">
        <f>GETPIVOTDATA("Sum of "&amp;T(Transactions!$J$19),Pivot!$A$3,"Customer",C21)</f>
        <v>8058114.9100000001</v>
      </c>
      <c r="E21" s="67">
        <f>GETPIVOTDATA("Sum of "&amp;T(Transactions!$K$19),Pivot!$A$3,"Customer",C21)</f>
        <v>7894092.8799999999</v>
      </c>
      <c r="F21" s="67">
        <f>D21-E21</f>
        <v>164022.03000000026</v>
      </c>
      <c r="G21" s="53">
        <f>+GETPIVOTDATA("Sum of "&amp;T(Transactions!$M$19),Pivot!$A$3,"Customer","AECC")</f>
        <v>5233.577092562201</v>
      </c>
      <c r="H21" s="53">
        <f>GETPIVOTDATA("Sum of "&amp;T(Transactions!$Q$19),Pivot!$A$3,"Customer","AECC")</f>
        <v>0</v>
      </c>
      <c r="I21" s="68">
        <f>F21+G21-H21</f>
        <v>169255.60709256245</v>
      </c>
      <c r="J21" s="69">
        <v>0</v>
      </c>
      <c r="K21" s="70">
        <f>I21+J21</f>
        <v>169255.60709256245</v>
      </c>
      <c r="L21" s="65"/>
      <c r="N21" s="52"/>
      <c r="O21" s="53"/>
      <c r="P21" s="53"/>
      <c r="Q21" s="53"/>
      <c r="R21" s="53"/>
      <c r="S21" s="53"/>
    </row>
    <row r="22" spans="2:19" x14ac:dyDescent="0.2">
      <c r="B22" s="65"/>
      <c r="C22" s="71" t="s">
        <v>83</v>
      </c>
      <c r="D22" s="67">
        <f>GETPIVOTDATA("Sum of "&amp;T(Transactions!$J$19),Pivot!$A$3,"Customer",C22)</f>
        <v>422146.75</v>
      </c>
      <c r="E22" s="67">
        <f>GETPIVOTDATA("Sum of "&amp;T(Transactions!$K$19),Pivot!$A$3,"Customer",C22)</f>
        <v>413554</v>
      </c>
      <c r="F22" s="67">
        <f>D22-E22</f>
        <v>8592.75</v>
      </c>
      <c r="G22" s="53">
        <f>+GETPIVOTDATA("Sum of "&amp;T(Transactions!$M$19),Pivot!$A$3,"Customer","AECI")</f>
        <v>274.17548461090166</v>
      </c>
      <c r="H22" s="53">
        <f>GETPIVOTDATA("Sum of "&amp;T(Transactions!$Q$19),Pivot!$A$3,"Customer",C22)</f>
        <v>0</v>
      </c>
      <c r="I22" s="68">
        <f t="shared" ref="I22:I33" si="0">F22+G22-H22</f>
        <v>8866.9254846109015</v>
      </c>
      <c r="J22" s="69">
        <v>0</v>
      </c>
      <c r="K22" s="70">
        <f t="shared" ref="K22:K39" si="1">I22+J22</f>
        <v>8866.9254846109015</v>
      </c>
      <c r="L22" s="65"/>
      <c r="N22" s="52"/>
      <c r="O22" s="53"/>
      <c r="P22" s="53"/>
      <c r="Q22" s="53"/>
      <c r="R22" s="53"/>
      <c r="S22" s="53"/>
    </row>
    <row r="23" spans="2:19" x14ac:dyDescent="0.2">
      <c r="B23" s="65"/>
      <c r="C23" s="71" t="s">
        <v>54</v>
      </c>
      <c r="D23" s="67">
        <f>GETPIVOTDATA("Sum of "&amp;T(Transactions!$J$19),Pivot!$A$3,"Customer",C23)</f>
        <v>1269106.44</v>
      </c>
      <c r="E23" s="67">
        <f>GETPIVOTDATA("Sum of "&amp;T(Transactions!$K$19),Pivot!$A$3,"Customer",C23)</f>
        <v>1243273.92</v>
      </c>
      <c r="F23" s="67">
        <f t="shared" ref="F23:F35" si="2">D23-E23</f>
        <v>25832.520000000019</v>
      </c>
      <c r="G23" s="53">
        <f>+GETPIVOTDATA("Sum of "&amp;T(Transactions!$M$19),Pivot!$A$3,"Customer","Bentonville, AR")</f>
        <v>824.25808847235294</v>
      </c>
      <c r="H23" s="53">
        <f>GETPIVOTDATA("Sum of "&amp;T(Transactions!$Q$19),Pivot!$A$3,"Customer",C23)</f>
        <v>0</v>
      </c>
      <c r="I23" s="68">
        <f t="shared" si="0"/>
        <v>26656.778088472372</v>
      </c>
      <c r="J23" s="69">
        <v>0</v>
      </c>
      <c r="K23" s="70">
        <f t="shared" si="1"/>
        <v>26656.778088472372</v>
      </c>
      <c r="L23" s="65"/>
      <c r="N23" s="52"/>
      <c r="O23" s="53"/>
      <c r="P23" s="53"/>
      <c r="Q23" s="53"/>
      <c r="R23" s="53"/>
      <c r="S23" s="53"/>
    </row>
    <row r="24" spans="2:19" x14ac:dyDescent="0.2">
      <c r="B24" s="65"/>
      <c r="C24" s="66" t="s">
        <v>17</v>
      </c>
      <c r="D24" s="67">
        <f>GETPIVOTDATA("Sum of "&amp;T(Transactions!$J$19),Pivot!$A$3,"Customer",C24)</f>
        <v>1120688.5300000003</v>
      </c>
      <c r="E24" s="67">
        <f>GETPIVOTDATA("Sum of "&amp;T(Transactions!$K$19),Pivot!$A$3,"Customer",C24)</f>
        <v>1097877.0399999998</v>
      </c>
      <c r="F24" s="67">
        <f t="shared" si="2"/>
        <v>22811.490000000456</v>
      </c>
      <c r="G24" s="53">
        <f>+GETPIVOTDATA("Sum of "&amp;T(Transactions!$M$19),Pivot!$A$3,"Customer","Coffeyville, KS")</f>
        <v>727.8637601986253</v>
      </c>
      <c r="H24" s="53">
        <f>GETPIVOTDATA("Sum of "&amp;T(Transactions!$Q$19),Pivot!$A$3,"Customer",C24)</f>
        <v>0</v>
      </c>
      <c r="I24" s="68">
        <f t="shared" si="0"/>
        <v>23539.353760199083</v>
      </c>
      <c r="J24" s="69">
        <v>0</v>
      </c>
      <c r="K24" s="70">
        <f t="shared" si="1"/>
        <v>23539.353760199083</v>
      </c>
      <c r="L24" s="65"/>
      <c r="N24" s="52"/>
      <c r="O24" s="53"/>
      <c r="P24" s="53"/>
      <c r="Q24" s="53"/>
      <c r="R24" s="53"/>
      <c r="S24" s="53"/>
    </row>
    <row r="25" spans="2:19" x14ac:dyDescent="0.2">
      <c r="B25" s="65"/>
      <c r="C25" s="71" t="s">
        <v>13</v>
      </c>
      <c r="D25" s="67">
        <f>GETPIVOTDATA("Sum of "&amp;T(Transactions!$J$19),Pivot!$A$3,"Customer",C25)</f>
        <v>8905074.5999999978</v>
      </c>
      <c r="E25" s="67">
        <f>GETPIVOTDATA("Sum of "&amp;T(Transactions!$K$19),Pivot!$A$3,"Customer",C25)</f>
        <v>8723812.8000000007</v>
      </c>
      <c r="F25" s="67">
        <f t="shared" si="2"/>
        <v>181261.79999999702</v>
      </c>
      <c r="G25" s="53">
        <f>+GETPIVOTDATA("Sum of "&amp;T(Transactions!$M$19),Pivot!$A$3,"Customer","ETEC")</f>
        <v>5783.6596964236523</v>
      </c>
      <c r="H25" s="53">
        <f>GETPIVOTDATA("Sum of "&amp;T(Transactions!$Q$19),Pivot!$A$3,"Customer",C25)</f>
        <v>0</v>
      </c>
      <c r="I25" s="68">
        <f t="shared" si="0"/>
        <v>187045.45969642067</v>
      </c>
      <c r="J25" s="69">
        <v>0</v>
      </c>
      <c r="K25" s="70">
        <f t="shared" si="1"/>
        <v>187045.45969642067</v>
      </c>
      <c r="L25" s="65"/>
      <c r="N25" s="54"/>
      <c r="O25" s="53"/>
      <c r="P25" s="53"/>
      <c r="Q25" s="53"/>
      <c r="R25" s="53"/>
      <c r="S25" s="53"/>
    </row>
    <row r="26" spans="2:19" x14ac:dyDescent="0.2">
      <c r="B26" s="65"/>
      <c r="C26" s="66" t="s">
        <v>15</v>
      </c>
      <c r="D26" s="67">
        <f>GETPIVOTDATA("Sum of "&amp;T(Transactions!$J$19),Pivot!$A$3,"Customer",C26)</f>
        <v>96871.57</v>
      </c>
      <c r="E26" s="67">
        <f>GETPIVOTDATA("Sum of "&amp;T(Transactions!$K$19),Pivot!$A$3,"Customer",C26)</f>
        <v>94899.76</v>
      </c>
      <c r="F26" s="67">
        <f t="shared" si="2"/>
        <v>1971.8100000000122</v>
      </c>
      <c r="G26" s="53">
        <f>+GETPIVOTDATA("Sum of "&amp;T(Transactions!$M$19),Pivot!$A$3,"Customer","Greenbelt")</f>
        <v>62.916058573870075</v>
      </c>
      <c r="H26" s="53">
        <f>GETPIVOTDATA("Sum of "&amp;T(Transactions!$Q$19),Pivot!$A$3,"Customer",C26)</f>
        <v>0</v>
      </c>
      <c r="I26" s="68">
        <f t="shared" si="0"/>
        <v>2034.7260585738823</v>
      </c>
      <c r="J26" s="69">
        <v>0</v>
      </c>
      <c r="K26" s="70">
        <f t="shared" si="1"/>
        <v>2034.7260585738823</v>
      </c>
      <c r="L26" s="65"/>
      <c r="M26" s="72"/>
      <c r="N26" s="72"/>
      <c r="O26" s="72"/>
      <c r="P26" s="72"/>
      <c r="Q26" s="53"/>
      <c r="R26" s="53"/>
      <c r="S26" s="53"/>
    </row>
    <row r="27" spans="2:19" x14ac:dyDescent="0.2">
      <c r="B27" s="65"/>
      <c r="C27" s="66" t="s">
        <v>57</v>
      </c>
      <c r="D27" s="67">
        <f>GETPIVOTDATA("Sum of "&amp;T(Transactions!$J$19),Pivot!$A$3,"Customer",C27)</f>
        <v>420369.29</v>
      </c>
      <c r="E27" s="67">
        <f>GETPIVOTDATA("Sum of "&amp;T(Transactions!$K$19),Pivot!$A$3,"Customer",C27)</f>
        <v>411812.72</v>
      </c>
      <c r="F27" s="67">
        <f t="shared" si="2"/>
        <v>8556.570000000007</v>
      </c>
      <c r="G27" s="53">
        <f>+GETPIVOTDATA("Sum of "&amp;T(Transactions!$M$19),Pivot!$A$3,"Customer","Hope, AR")</f>
        <v>273.02106151780322</v>
      </c>
      <c r="H27" s="53">
        <f>GETPIVOTDATA("Sum of "&amp;T(Transactions!$Q$19),Pivot!$A$3,"Customer",C27)</f>
        <v>0</v>
      </c>
      <c r="I27" s="68">
        <f t="shared" si="0"/>
        <v>8829.5910615178109</v>
      </c>
      <c r="J27" s="69">
        <v>0</v>
      </c>
      <c r="K27" s="70">
        <f t="shared" si="1"/>
        <v>8829.5910615178109</v>
      </c>
      <c r="L27" s="65"/>
      <c r="M27" s="72"/>
      <c r="N27" s="72"/>
      <c r="O27" s="72"/>
      <c r="P27" s="72"/>
      <c r="Q27" s="53"/>
      <c r="R27" s="53"/>
      <c r="S27" s="53"/>
    </row>
    <row r="28" spans="2:19" x14ac:dyDescent="0.2">
      <c r="B28" s="65"/>
      <c r="C28" s="66" t="s">
        <v>16</v>
      </c>
      <c r="D28" s="67">
        <f>GETPIVOTDATA("Sum of "&amp;T(Transactions!$J$19),Pivot!$A$3,"Customer",C28)</f>
        <v>40881.579999999994</v>
      </c>
      <c r="E28" s="67">
        <f>GETPIVOTDATA("Sum of "&amp;T(Transactions!$K$19),Pivot!$A$3,"Customer",C28)</f>
        <v>40049.440000000002</v>
      </c>
      <c r="F28" s="67">
        <f t="shared" si="2"/>
        <v>832.13999999999214</v>
      </c>
      <c r="G28" s="53">
        <f>+GETPIVOTDATA("Sum of "&amp;T(Transactions!$M$19),Pivot!$A$3,"Customer","Lighthouse")</f>
        <v>26.551731141266266</v>
      </c>
      <c r="H28" s="53">
        <f>GETPIVOTDATA("Sum of "&amp;T(Transactions!$Q$19),Pivot!$A$3,"Customer",C28)</f>
        <v>0</v>
      </c>
      <c r="I28" s="68">
        <f t="shared" si="0"/>
        <v>858.6917311412584</v>
      </c>
      <c r="J28" s="69">
        <v>0</v>
      </c>
      <c r="K28" s="70">
        <f t="shared" si="1"/>
        <v>858.6917311412584</v>
      </c>
      <c r="L28" s="65"/>
      <c r="N28" s="52"/>
      <c r="O28" s="53"/>
      <c r="P28" s="53"/>
      <c r="Q28" s="53"/>
      <c r="R28" s="53"/>
      <c r="S28" s="53"/>
    </row>
    <row r="29" spans="2:19" x14ac:dyDescent="0.2">
      <c r="B29" s="65"/>
      <c r="C29" s="71" t="s">
        <v>56</v>
      </c>
      <c r="D29" s="67">
        <f>GETPIVOTDATA("Sum of "&amp;T(Transactions!$J$19),Pivot!$A$3,"Customer",C29)</f>
        <v>272840.11</v>
      </c>
      <c r="E29" s="67">
        <f>GETPIVOTDATA("Sum of "&amp;T(Transactions!$K$19),Pivot!$A$3,"Customer",C29)</f>
        <v>267286.48</v>
      </c>
      <c r="F29" s="67">
        <f t="shared" si="2"/>
        <v>5553.6300000000047</v>
      </c>
      <c r="G29" s="53">
        <f>+GETPIVOTDATA("Sum of "&amp;T(Transactions!$M$19),Pivot!$A$3,"Customer","Minden, LA")</f>
        <v>177.20394479062489</v>
      </c>
      <c r="H29" s="53">
        <f>GETPIVOTDATA("Sum of "&amp;T(Transactions!$Q$19),Pivot!$A$3,"Customer",C29)</f>
        <v>0</v>
      </c>
      <c r="I29" s="68">
        <f t="shared" si="0"/>
        <v>5730.8339447906292</v>
      </c>
      <c r="J29" s="69">
        <v>0</v>
      </c>
      <c r="K29" s="70">
        <f t="shared" si="1"/>
        <v>5730.8339447906292</v>
      </c>
      <c r="L29" s="65"/>
      <c r="N29" s="52"/>
      <c r="O29" s="53"/>
      <c r="P29" s="53"/>
      <c r="Q29" s="53"/>
      <c r="R29" s="53"/>
      <c r="S29" s="53"/>
    </row>
    <row r="30" spans="2:19" x14ac:dyDescent="0.2">
      <c r="B30" s="65"/>
      <c r="C30" s="71" t="s">
        <v>19</v>
      </c>
      <c r="D30" s="67">
        <f>GETPIVOTDATA("Sum of "&amp;T(Transactions!$J$19),Pivot!$A$3,"Customer",C30)</f>
        <v>471026.9</v>
      </c>
      <c r="E30" s="67">
        <f>GETPIVOTDATA("Sum of "&amp;T(Transactions!$K$19),Pivot!$A$3,"Customer",C30)</f>
        <v>461439.19999999995</v>
      </c>
      <c r="F30" s="67">
        <f t="shared" si="2"/>
        <v>9587.7000000000698</v>
      </c>
      <c r="G30" s="53">
        <f>+GETPIVOTDATA("Sum of "&amp;T(Transactions!$M$19),Pivot!$A$3,"Customer","OG&amp;E")</f>
        <v>305.92211967111137</v>
      </c>
      <c r="H30" s="53">
        <f>GETPIVOTDATA("Sum of "&amp;T(Transactions!$Q$19),Pivot!$A$3,"Customer",C30)</f>
        <v>0</v>
      </c>
      <c r="I30" s="68">
        <f t="shared" si="0"/>
        <v>9893.6221196711813</v>
      </c>
      <c r="J30" s="69">
        <v>0</v>
      </c>
      <c r="K30" s="70">
        <f t="shared" si="1"/>
        <v>9893.6221196711813</v>
      </c>
      <c r="L30" s="65"/>
    </row>
    <row r="31" spans="2:19" x14ac:dyDescent="0.2">
      <c r="B31" s="65"/>
      <c r="C31" s="66" t="s">
        <v>8</v>
      </c>
      <c r="D31" s="67">
        <f>GETPIVOTDATA("Sum of "&amp;T(Transactions!$J$19),Pivot!$A$3,"Customer",C31)</f>
        <v>1107357.58</v>
      </c>
      <c r="E31" s="67">
        <f>GETPIVOTDATA("Sum of "&amp;T(Transactions!$K$19),Pivot!$A$3,"Customer",C31)</f>
        <v>1084817.44</v>
      </c>
      <c r="F31" s="67">
        <f t="shared" si="2"/>
        <v>22540.14000000013</v>
      </c>
      <c r="G31" s="53">
        <f>+GETPIVOTDATA("Sum of "&amp;T(Transactions!$M$19),Pivot!$A$3,"Customer","OMPA")</f>
        <v>719.20558700038634</v>
      </c>
      <c r="H31" s="53">
        <f>GETPIVOTDATA("Sum of "&amp;T(Transactions!$Q$19),Pivot!$A$3,"Customer",C31)</f>
        <v>0</v>
      </c>
      <c r="I31" s="68">
        <f t="shared" si="0"/>
        <v>23259.345587000516</v>
      </c>
      <c r="J31" s="69">
        <v>0</v>
      </c>
      <c r="K31" s="70">
        <f t="shared" si="1"/>
        <v>23259.345587000516</v>
      </c>
      <c r="L31" s="65"/>
    </row>
    <row r="32" spans="2:19" x14ac:dyDescent="0.2">
      <c r="B32" s="65"/>
      <c r="C32" s="66" t="s">
        <v>55</v>
      </c>
      <c r="D32" s="67">
        <f>GETPIVOTDATA("Sum of "&amp;T(Transactions!$J$19),Pivot!$A$3,"Customer",C32)</f>
        <v>112868.70999999999</v>
      </c>
      <c r="E32" s="67">
        <f>GETPIVOTDATA("Sum of "&amp;T(Transactions!$K$19),Pivot!$A$3,"Customer",C32)</f>
        <v>110571.27999999998</v>
      </c>
      <c r="F32" s="67">
        <f t="shared" si="2"/>
        <v>2297.4300000000076</v>
      </c>
      <c r="G32" s="53">
        <f>+GETPIVOTDATA("Sum of "&amp;T(Transactions!$M$19),Pivot!$A$3,"Customer","Prescott, AR")</f>
        <v>73.305866411756881</v>
      </c>
      <c r="H32" s="53">
        <f>GETPIVOTDATA("Sum of "&amp;T(Transactions!$Q$19),Pivot!$A$3,"Customer",C32)</f>
        <v>0</v>
      </c>
      <c r="I32" s="68">
        <f t="shared" si="0"/>
        <v>2370.7358664117646</v>
      </c>
      <c r="J32" s="69">
        <v>0</v>
      </c>
      <c r="K32" s="70">
        <f t="shared" si="1"/>
        <v>2370.7358664117646</v>
      </c>
      <c r="L32" s="65"/>
    </row>
    <row r="33" spans="2:13" x14ac:dyDescent="0.2">
      <c r="B33" s="65"/>
      <c r="C33" s="73" t="s">
        <v>9</v>
      </c>
      <c r="D33" s="67">
        <f>GETPIVOTDATA("Sum of "&amp;T(Transactions!$J$19),Pivot!$A$3,"Customer",C33)</f>
        <v>439032.62</v>
      </c>
      <c r="E33" s="67">
        <f>GETPIVOTDATA("Sum of "&amp;T(Transactions!$K$19),Pivot!$A$3,"Customer",C33)</f>
        <v>430096.16000000003</v>
      </c>
      <c r="F33" s="67">
        <f t="shared" si="2"/>
        <v>8936.4599999999627</v>
      </c>
      <c r="G33" s="53">
        <f>+GETPIVOTDATA("Sum of "&amp;T(Transactions!$M$19),Pivot!$A$3,"Customer","WFEC")</f>
        <v>285.14250399533773</v>
      </c>
      <c r="H33" s="53">
        <f>GETPIVOTDATA("Sum of "&amp;T(Transactions!$Q$19),Pivot!$A$3,"Customer",C33)</f>
        <v>0</v>
      </c>
      <c r="I33" s="68">
        <f t="shared" si="0"/>
        <v>9221.6025039953001</v>
      </c>
      <c r="J33" s="69">
        <v>0</v>
      </c>
      <c r="K33" s="70">
        <f t="shared" si="1"/>
        <v>9221.6025039953001</v>
      </c>
      <c r="L33" s="65"/>
    </row>
    <row r="34" spans="2:13" ht="24" x14ac:dyDescent="0.2">
      <c r="C34" s="74" t="s">
        <v>43</v>
      </c>
      <c r="D34" s="75">
        <f t="shared" ref="D34:J34" si="3">SUM(D21:D33)</f>
        <v>22736379.589999992</v>
      </c>
      <c r="E34" s="75">
        <f t="shared" si="3"/>
        <v>22273583.120000005</v>
      </c>
      <c r="F34" s="75">
        <f t="shared" si="3"/>
        <v>462796.46999999793</v>
      </c>
      <c r="G34" s="76">
        <f t="shared" si="3"/>
        <v>14766.80299536989</v>
      </c>
      <c r="H34" s="76">
        <f t="shared" si="3"/>
        <v>0</v>
      </c>
      <c r="I34" s="77">
        <f t="shared" si="3"/>
        <v>477563.27299536788</v>
      </c>
      <c r="J34" s="78">
        <f t="shared" si="3"/>
        <v>0</v>
      </c>
      <c r="K34" s="79">
        <f t="shared" si="1"/>
        <v>477563.27299536788</v>
      </c>
    </row>
    <row r="35" spans="2:13" x14ac:dyDescent="0.2">
      <c r="C35" s="80" t="s">
        <v>21</v>
      </c>
      <c r="D35" s="67">
        <f>GETPIVOTDATA("Sum of "&amp;T(Transactions!$J$19),Pivot!$A$3,"Customer",C35)</f>
        <v>32334663.589999996</v>
      </c>
      <c r="E35" s="67">
        <f>GETPIVOTDATA("Sum of "&amp;T(Transactions!$K$19),Pivot!$A$3,"Customer",C35)</f>
        <v>31676495.119999994</v>
      </c>
      <c r="F35" s="67">
        <f t="shared" si="2"/>
        <v>658168.47000000253</v>
      </c>
      <c r="G35" s="53">
        <f>+GETPIVOTDATA("Sum of "&amp;T(Transactions!$M$19),Pivot!$A$3,"Customer","PSO")</f>
        <v>21000.68769810197</v>
      </c>
      <c r="H35" s="53">
        <f>GETPIVOTDATA("Sum of "&amp;T(Transactions!$Q$19),Pivot!$A$3,"Customer",C35)</f>
        <v>0</v>
      </c>
      <c r="I35" s="68">
        <f>F35+G35-H35</f>
        <v>679169.15769810451</v>
      </c>
      <c r="J35" s="69">
        <v>0</v>
      </c>
      <c r="K35" s="70">
        <f t="shared" si="1"/>
        <v>679169.15769810451</v>
      </c>
    </row>
    <row r="36" spans="2:13" x14ac:dyDescent="0.2">
      <c r="C36" s="81" t="s">
        <v>22</v>
      </c>
      <c r="D36" s="67">
        <f>GETPIVOTDATA("Sum of "&amp;T(Transactions!$J$19),Pivot!$A$3,"Customer",C36)</f>
        <v>30930470.189999998</v>
      </c>
      <c r="E36" s="67">
        <f>GETPIVOTDATA("Sum of "&amp;T(Transactions!$K$19),Pivot!$A$3,"Customer",C36)</f>
        <v>30300883.920000002</v>
      </c>
      <c r="F36" s="67">
        <f>D36-E36</f>
        <v>629586.26999999583</v>
      </c>
      <c r="G36" s="53">
        <f>+GETPIVOTDATA("Sum of "&amp;T(Transactions!$M$19),Pivot!$A$3,"Customer","SWEPCO")</f>
        <v>20088.69345455413</v>
      </c>
      <c r="H36" s="53">
        <f>GETPIVOTDATA("Sum of "&amp;T(Transactions!$Q$19),Pivot!$A$3,"Customer",C36)</f>
        <v>0</v>
      </c>
      <c r="I36" s="68">
        <f>F36+G36-H36</f>
        <v>649674.9634545499</v>
      </c>
      <c r="J36" s="69">
        <v>0</v>
      </c>
      <c r="K36" s="70">
        <f t="shared" si="1"/>
        <v>649674.9634545499</v>
      </c>
    </row>
    <row r="37" spans="2:13" x14ac:dyDescent="0.2">
      <c r="C37" s="82" t="s">
        <v>81</v>
      </c>
      <c r="D37" s="67">
        <f>GETPIVOTDATA("Sum of "&amp;T(Transactions!$J$19),Pivot!$A$3,"Customer",C37)</f>
        <v>1370421.6600000001</v>
      </c>
      <c r="E37" s="67">
        <f>GETPIVOTDATA("Sum of "&amp;T(Transactions!$K$19),Pivot!$A$3,"Customer",C37)</f>
        <v>1342526.88</v>
      </c>
      <c r="F37" s="67">
        <f>D37-E37</f>
        <v>27894.780000000261</v>
      </c>
      <c r="G37" s="53">
        <f>+GETPIVOTDATA("Sum of "&amp;T(Transactions!$M$19),Pivot!$A$3,"Customer","SWEPCO-Valley")</f>
        <v>890.06020477896925</v>
      </c>
      <c r="H37" s="53">
        <f>GETPIVOTDATA("Sum of "&amp;T(Transactions!$Q$19),Pivot!$A$3,"Customer",C37)</f>
        <v>0</v>
      </c>
      <c r="I37" s="68">
        <f>F37+G37-H37</f>
        <v>28784.84020477923</v>
      </c>
      <c r="J37" s="69">
        <v>0</v>
      </c>
      <c r="K37" s="70">
        <f t="shared" si="1"/>
        <v>28784.84020477923</v>
      </c>
    </row>
    <row r="38" spans="2:13" ht="24" x14ac:dyDescent="0.2">
      <c r="C38" s="83" t="s">
        <v>51</v>
      </c>
      <c r="D38" s="84">
        <f t="shared" ref="D38:I38" si="4">SUM(D35:D37)</f>
        <v>64635555.439999998</v>
      </c>
      <c r="E38" s="84">
        <f t="shared" si="4"/>
        <v>63319905.919999994</v>
      </c>
      <c r="F38" s="84">
        <f t="shared" si="4"/>
        <v>1315649.5199999986</v>
      </c>
      <c r="G38" s="85">
        <f t="shared" si="4"/>
        <v>41979.441357435076</v>
      </c>
      <c r="H38" s="85">
        <f t="shared" si="4"/>
        <v>0</v>
      </c>
      <c r="I38" s="86">
        <f t="shared" si="4"/>
        <v>1357628.9613574336</v>
      </c>
      <c r="J38" s="87">
        <f>SUM(J35:J37)</f>
        <v>0</v>
      </c>
      <c r="K38" s="88">
        <f t="shared" si="1"/>
        <v>1357628.9613574336</v>
      </c>
      <c r="M38" s="89"/>
    </row>
    <row r="39" spans="2:13" ht="23.25" customHeight="1" thickBot="1" x14ac:dyDescent="0.25">
      <c r="C39" s="90" t="s">
        <v>44</v>
      </c>
      <c r="D39" s="91">
        <f t="shared" ref="D39:I39" si="5">SUM(D34,D38)</f>
        <v>87371935.029999986</v>
      </c>
      <c r="E39" s="92">
        <f t="shared" si="5"/>
        <v>85593489.039999992</v>
      </c>
      <c r="F39" s="91">
        <f t="shared" si="5"/>
        <v>1778445.9899999965</v>
      </c>
      <c r="G39" s="92">
        <f t="shared" si="5"/>
        <v>56746.244352804963</v>
      </c>
      <c r="H39" s="92">
        <f t="shared" si="5"/>
        <v>0</v>
      </c>
      <c r="I39" s="93">
        <f t="shared" si="5"/>
        <v>1835192.2343528015</v>
      </c>
      <c r="J39" s="94">
        <f>SUM(J34,J38)</f>
        <v>0</v>
      </c>
      <c r="K39" s="95">
        <f t="shared" si="1"/>
        <v>1835192.2343528015</v>
      </c>
      <c r="L39" s="95"/>
      <c r="M39" s="89"/>
    </row>
    <row r="40" spans="2:13" x14ac:dyDescent="0.2">
      <c r="E40" s="52"/>
      <c r="F40" s="52"/>
      <c r="G40" s="52"/>
      <c r="H40" s="52"/>
    </row>
    <row r="41" spans="2:13" x14ac:dyDescent="0.2">
      <c r="K41" s="96"/>
    </row>
    <row r="42" spans="2:13" x14ac:dyDescent="0.2">
      <c r="D42" s="65"/>
    </row>
    <row r="43" spans="2:13" x14ac:dyDescent="0.2">
      <c r="K43" s="96"/>
    </row>
  </sheetData>
  <mergeCells count="4">
    <mergeCell ref="C1:I1"/>
    <mergeCell ref="C2:I2"/>
    <mergeCell ref="C3:I3"/>
    <mergeCell ref="C4:I4"/>
  </mergeCells>
  <phoneticPr fontId="6" type="noConversion"/>
  <printOptions horizontalCentered="1"/>
  <pageMargins left="0.5" right="0.75" top="0.9" bottom="0.53" header="0.5" footer="0.5"/>
  <pageSetup scale="87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O126"/>
  <sheetViews>
    <sheetView zoomScale="85" workbookViewId="0">
      <pane xSplit="2" ySplit="4" topLeftCell="I95" activePane="bottomRight" state="frozen"/>
      <selection pane="topRight" activeCell="C1" sqref="C1"/>
      <selection pane="bottomLeft" activeCell="A5" sqref="A5"/>
      <selection pane="bottomRight" activeCell="I113" sqref="I113"/>
    </sheetView>
  </sheetViews>
  <sheetFormatPr defaultColWidth="8.7109375" defaultRowHeight="12.75" x14ac:dyDescent="0.2"/>
  <cols>
    <col min="1" max="1" width="19.140625" style="1" customWidth="1"/>
    <col min="2" max="2" width="28.5703125" style="1" bestFit="1" customWidth="1"/>
    <col min="3" max="14" width="15.42578125" style="1" bestFit="1" customWidth="1"/>
    <col min="15" max="15" width="11.5703125" style="1" customWidth="1"/>
    <col min="16" max="16384" width="8.7109375" style="1"/>
  </cols>
  <sheetData>
    <row r="3" spans="1:15" x14ac:dyDescent="0.2">
      <c r="A3" s="97"/>
      <c r="B3" s="98"/>
      <c r="C3" s="99" t="s">
        <v>53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100"/>
    </row>
    <row r="4" spans="1:15" x14ac:dyDescent="0.2">
      <c r="A4" s="99" t="s">
        <v>0</v>
      </c>
      <c r="B4" s="99" t="s">
        <v>24</v>
      </c>
      <c r="C4" s="101">
        <v>44197</v>
      </c>
      <c r="D4" s="102">
        <v>44228</v>
      </c>
      <c r="E4" s="102">
        <v>44256</v>
      </c>
      <c r="F4" s="102">
        <v>44287</v>
      </c>
      <c r="G4" s="102">
        <v>44317</v>
      </c>
      <c r="H4" s="102">
        <v>44348</v>
      </c>
      <c r="I4" s="102">
        <v>44378</v>
      </c>
      <c r="J4" s="102">
        <v>44409</v>
      </c>
      <c r="K4" s="102">
        <v>44440</v>
      </c>
      <c r="L4" s="102">
        <v>44470</v>
      </c>
      <c r="M4" s="102">
        <v>44501</v>
      </c>
      <c r="N4" s="102">
        <v>44531</v>
      </c>
      <c r="O4" s="103" t="s">
        <v>18</v>
      </c>
    </row>
    <row r="5" spans="1:15" x14ac:dyDescent="0.2">
      <c r="A5" s="97" t="s">
        <v>14</v>
      </c>
      <c r="B5" s="97" t="s">
        <v>70</v>
      </c>
      <c r="C5" s="104">
        <v>681655.91</v>
      </c>
      <c r="D5" s="105">
        <v>943831.26</v>
      </c>
      <c r="E5" s="105">
        <v>532349.27</v>
      </c>
      <c r="F5" s="105">
        <v>397262.31</v>
      </c>
      <c r="G5" s="105">
        <v>535904.19000000006</v>
      </c>
      <c r="H5" s="105">
        <v>746533.20000000007</v>
      </c>
      <c r="I5" s="105">
        <v>822963.98</v>
      </c>
      <c r="J5" s="105">
        <v>838072.39</v>
      </c>
      <c r="K5" s="105">
        <v>811410.49</v>
      </c>
      <c r="L5" s="105">
        <v>605225.13</v>
      </c>
      <c r="M5" s="105">
        <v>579451.96</v>
      </c>
      <c r="N5" s="105">
        <v>563454.82000000007</v>
      </c>
      <c r="O5" s="106">
        <v>8058114.9100000001</v>
      </c>
    </row>
    <row r="6" spans="1:15" x14ac:dyDescent="0.2">
      <c r="A6" s="237"/>
      <c r="B6" s="107" t="s">
        <v>25</v>
      </c>
      <c r="C6" s="246">
        <v>13875.030000000028</v>
      </c>
      <c r="D6" s="247">
        <v>19211.580000000075</v>
      </c>
      <c r="E6" s="247">
        <v>10835.910000000033</v>
      </c>
      <c r="F6" s="247">
        <v>8086.2299999999814</v>
      </c>
      <c r="G6" s="247">
        <v>10908.270000000019</v>
      </c>
      <c r="H6" s="247">
        <v>15195.600000000093</v>
      </c>
      <c r="I6" s="247">
        <v>16751.339999999967</v>
      </c>
      <c r="J6" s="247">
        <v>17058.869999999995</v>
      </c>
      <c r="K6" s="247">
        <v>16516.170000000042</v>
      </c>
      <c r="L6" s="247">
        <v>12319.290000000037</v>
      </c>
      <c r="M6" s="247">
        <v>11794.679999999935</v>
      </c>
      <c r="N6" s="247">
        <v>11469.060000000056</v>
      </c>
      <c r="O6" s="248">
        <v>164022.03000000026</v>
      </c>
    </row>
    <row r="7" spans="1:15" x14ac:dyDescent="0.2">
      <c r="A7" s="237"/>
      <c r="B7" s="107" t="s">
        <v>26</v>
      </c>
      <c r="C7" s="246">
        <v>442.72125620328757</v>
      </c>
      <c r="D7" s="247">
        <v>612.99866243532131</v>
      </c>
      <c r="E7" s="247">
        <v>345.74971638301076</v>
      </c>
      <c r="F7" s="247">
        <v>258.0135613075222</v>
      </c>
      <c r="G7" s="247">
        <v>348.05856256920782</v>
      </c>
      <c r="H7" s="247">
        <v>484.85769910138407</v>
      </c>
      <c r="I7" s="247">
        <v>534.49789210462097</v>
      </c>
      <c r="J7" s="247">
        <v>544.3104883959586</v>
      </c>
      <c r="K7" s="247">
        <v>526.99414199948046</v>
      </c>
      <c r="L7" s="247">
        <v>393.08106320005066</v>
      </c>
      <c r="M7" s="247">
        <v>376.34192835012192</v>
      </c>
      <c r="N7" s="247">
        <v>365.95212051223513</v>
      </c>
      <c r="O7" s="248">
        <v>5233.577092562201</v>
      </c>
    </row>
    <row r="8" spans="1:15" x14ac:dyDescent="0.2">
      <c r="A8" s="237"/>
      <c r="B8" s="107" t="s">
        <v>27</v>
      </c>
      <c r="C8" s="246">
        <v>14317.751256203315</v>
      </c>
      <c r="D8" s="247">
        <v>19824.578662435397</v>
      </c>
      <c r="E8" s="247">
        <v>11181.659716383043</v>
      </c>
      <c r="F8" s="247">
        <v>8344.2435613075031</v>
      </c>
      <c r="G8" s="247">
        <v>11256.328562569226</v>
      </c>
      <c r="H8" s="247">
        <v>15680.457699101476</v>
      </c>
      <c r="I8" s="247">
        <v>17285.837892104588</v>
      </c>
      <c r="J8" s="247">
        <v>17603.180488395956</v>
      </c>
      <c r="K8" s="247">
        <v>17043.164141999521</v>
      </c>
      <c r="L8" s="247">
        <v>12712.371063200088</v>
      </c>
      <c r="M8" s="247">
        <v>12171.021928350057</v>
      </c>
      <c r="N8" s="247">
        <v>11835.01212051229</v>
      </c>
      <c r="O8" s="248">
        <v>169255.60709256245</v>
      </c>
    </row>
    <row r="9" spans="1:15" x14ac:dyDescent="0.2">
      <c r="A9" s="237"/>
      <c r="B9" s="107" t="s">
        <v>49</v>
      </c>
      <c r="C9" s="108">
        <v>667780.88</v>
      </c>
      <c r="D9" s="96">
        <v>924619.67999999993</v>
      </c>
      <c r="E9" s="96">
        <v>521513.36</v>
      </c>
      <c r="F9" s="96">
        <v>389176.08</v>
      </c>
      <c r="G9" s="96">
        <v>524995.92000000004</v>
      </c>
      <c r="H9" s="96">
        <v>731337.6</v>
      </c>
      <c r="I9" s="96">
        <v>806212.64</v>
      </c>
      <c r="J9" s="96">
        <v>821013.52</v>
      </c>
      <c r="K9" s="96">
        <v>794894.32</v>
      </c>
      <c r="L9" s="96">
        <v>592905.84</v>
      </c>
      <c r="M9" s="96">
        <v>567657.28</v>
      </c>
      <c r="N9" s="96">
        <v>551985.76</v>
      </c>
      <c r="O9" s="109">
        <v>7894092.8799999999</v>
      </c>
    </row>
    <row r="10" spans="1:15" x14ac:dyDescent="0.2">
      <c r="A10" s="237"/>
      <c r="B10" s="107" t="s">
        <v>87</v>
      </c>
      <c r="C10" s="108">
        <v>0</v>
      </c>
      <c r="D10" s="96">
        <v>0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109">
        <v>0</v>
      </c>
    </row>
    <row r="11" spans="1:15" x14ac:dyDescent="0.2">
      <c r="A11" s="237"/>
      <c r="B11" s="107" t="s">
        <v>89</v>
      </c>
      <c r="C11" s="108">
        <v>0</v>
      </c>
      <c r="D11" s="96">
        <v>0</v>
      </c>
      <c r="E11" s="96">
        <v>0</v>
      </c>
      <c r="F11" s="96">
        <v>0</v>
      </c>
      <c r="G11" s="96">
        <v>0</v>
      </c>
      <c r="H11" s="96">
        <v>0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109">
        <v>0</v>
      </c>
    </row>
    <row r="12" spans="1:15" x14ac:dyDescent="0.2">
      <c r="A12" s="97" t="s">
        <v>17</v>
      </c>
      <c r="B12" s="97" t="s">
        <v>70</v>
      </c>
      <c r="C12" s="104">
        <v>83540.62</v>
      </c>
      <c r="D12" s="105">
        <v>88873</v>
      </c>
      <c r="E12" s="105">
        <v>89761.73</v>
      </c>
      <c r="F12" s="105">
        <v>87095.540000000008</v>
      </c>
      <c r="G12" s="105">
        <v>87984.27</v>
      </c>
      <c r="H12" s="105">
        <v>100426.49</v>
      </c>
      <c r="I12" s="105">
        <v>103092.68000000001</v>
      </c>
      <c r="J12" s="105">
        <v>103092.68000000001</v>
      </c>
      <c r="K12" s="105">
        <v>103092.68000000001</v>
      </c>
      <c r="L12" s="105">
        <v>93316.650000000009</v>
      </c>
      <c r="M12" s="105">
        <v>88873</v>
      </c>
      <c r="N12" s="105">
        <v>91539.19</v>
      </c>
      <c r="O12" s="106">
        <v>1120688.5300000003</v>
      </c>
    </row>
    <row r="13" spans="1:15" x14ac:dyDescent="0.2">
      <c r="A13" s="237"/>
      <c r="B13" s="107" t="s">
        <v>25</v>
      </c>
      <c r="C13" s="246">
        <v>1700.4599999999919</v>
      </c>
      <c r="D13" s="247">
        <v>1809</v>
      </c>
      <c r="E13" s="247">
        <v>1827.0899999999965</v>
      </c>
      <c r="F13" s="247">
        <v>1772.820000000007</v>
      </c>
      <c r="G13" s="247">
        <v>1790.9100000000035</v>
      </c>
      <c r="H13" s="247">
        <v>2044.1700000000128</v>
      </c>
      <c r="I13" s="247">
        <v>2098.4400000000023</v>
      </c>
      <c r="J13" s="247">
        <v>2098.4400000000023</v>
      </c>
      <c r="K13" s="247">
        <v>2098.4400000000023</v>
      </c>
      <c r="L13" s="247">
        <v>1899.4500000000116</v>
      </c>
      <c r="M13" s="247">
        <v>1809</v>
      </c>
      <c r="N13" s="247">
        <v>1863.2700000000041</v>
      </c>
      <c r="O13" s="248">
        <v>22811.490000000034</v>
      </c>
    </row>
    <row r="14" spans="1:15" x14ac:dyDescent="0.2">
      <c r="A14" s="237"/>
      <c r="B14" s="107" t="s">
        <v>26</v>
      </c>
      <c r="C14" s="246">
        <v>54.257885375631076</v>
      </c>
      <c r="D14" s="247">
        <v>57.721154654926679</v>
      </c>
      <c r="E14" s="247">
        <v>58.298366201475943</v>
      </c>
      <c r="F14" s="247">
        <v>56.566731561828149</v>
      </c>
      <c r="G14" s="247">
        <v>57.143943108377414</v>
      </c>
      <c r="H14" s="247">
        <v>65.224904760067147</v>
      </c>
      <c r="I14" s="247">
        <v>66.956539399714941</v>
      </c>
      <c r="J14" s="247">
        <v>66.956539399714941</v>
      </c>
      <c r="K14" s="247">
        <v>66.956539399714941</v>
      </c>
      <c r="L14" s="247">
        <v>60.607212387673009</v>
      </c>
      <c r="M14" s="247">
        <v>57.721154654926679</v>
      </c>
      <c r="N14" s="247">
        <v>59.45278929457448</v>
      </c>
      <c r="O14" s="248">
        <v>727.8637601986253</v>
      </c>
    </row>
    <row r="15" spans="1:15" x14ac:dyDescent="0.2">
      <c r="A15" s="237"/>
      <c r="B15" s="107" t="s">
        <v>27</v>
      </c>
      <c r="C15" s="246">
        <v>1754.7178853756229</v>
      </c>
      <c r="D15" s="247">
        <v>1866.7211546549267</v>
      </c>
      <c r="E15" s="247">
        <v>1885.3883662014725</v>
      </c>
      <c r="F15" s="247">
        <v>1829.3867315618352</v>
      </c>
      <c r="G15" s="247">
        <v>1848.053943108381</v>
      </c>
      <c r="H15" s="247">
        <v>2109.39490476008</v>
      </c>
      <c r="I15" s="247">
        <v>2165.3965393997173</v>
      </c>
      <c r="J15" s="247">
        <v>2165.3965393997173</v>
      </c>
      <c r="K15" s="247">
        <v>2165.3965393997173</v>
      </c>
      <c r="L15" s="247">
        <v>1960.0572123876846</v>
      </c>
      <c r="M15" s="247">
        <v>1866.7211546549267</v>
      </c>
      <c r="N15" s="247">
        <v>1922.7227892945787</v>
      </c>
      <c r="O15" s="248">
        <v>23539.353760198657</v>
      </c>
    </row>
    <row r="16" spans="1:15" x14ac:dyDescent="0.2">
      <c r="A16" s="237"/>
      <c r="B16" s="107" t="s">
        <v>49</v>
      </c>
      <c r="C16" s="108">
        <v>81840.160000000003</v>
      </c>
      <c r="D16" s="96">
        <v>87064</v>
      </c>
      <c r="E16" s="96">
        <v>87934.64</v>
      </c>
      <c r="F16" s="96">
        <v>85322.72</v>
      </c>
      <c r="G16" s="96">
        <v>86193.36</v>
      </c>
      <c r="H16" s="96">
        <v>98382.319999999992</v>
      </c>
      <c r="I16" s="96">
        <v>100994.24000000001</v>
      </c>
      <c r="J16" s="96">
        <v>100994.24000000001</v>
      </c>
      <c r="K16" s="96">
        <v>100994.24000000001</v>
      </c>
      <c r="L16" s="96">
        <v>91417.2</v>
      </c>
      <c r="M16" s="96">
        <v>87064</v>
      </c>
      <c r="N16" s="96">
        <v>89675.92</v>
      </c>
      <c r="O16" s="109">
        <v>1097877.0399999998</v>
      </c>
    </row>
    <row r="17" spans="1:15" x14ac:dyDescent="0.2">
      <c r="A17" s="237"/>
      <c r="B17" s="107" t="s">
        <v>87</v>
      </c>
      <c r="C17" s="108">
        <v>0</v>
      </c>
      <c r="D17" s="96">
        <v>0</v>
      </c>
      <c r="E17" s="96">
        <v>0</v>
      </c>
      <c r="F17" s="96">
        <v>0</v>
      </c>
      <c r="G17" s="96">
        <v>0</v>
      </c>
      <c r="H17" s="96">
        <v>0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109">
        <v>0</v>
      </c>
    </row>
    <row r="18" spans="1:15" x14ac:dyDescent="0.2">
      <c r="A18" s="237"/>
      <c r="B18" s="107" t="s">
        <v>89</v>
      </c>
      <c r="C18" s="108">
        <v>0</v>
      </c>
      <c r="D18" s="96">
        <v>0</v>
      </c>
      <c r="E18" s="96">
        <v>0</v>
      </c>
      <c r="F18" s="96">
        <v>0</v>
      </c>
      <c r="G18" s="96">
        <v>0</v>
      </c>
      <c r="H18" s="96">
        <v>0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  <c r="O18" s="109">
        <v>0</v>
      </c>
    </row>
    <row r="19" spans="1:15" x14ac:dyDescent="0.2">
      <c r="A19" s="97" t="s">
        <v>13</v>
      </c>
      <c r="B19" s="97" t="s">
        <v>70</v>
      </c>
      <c r="C19" s="104">
        <v>864734.29</v>
      </c>
      <c r="D19" s="105">
        <v>1189120.74</v>
      </c>
      <c r="E19" s="105">
        <v>702096.70000000007</v>
      </c>
      <c r="F19" s="105">
        <v>502132.45</v>
      </c>
      <c r="G19" s="105">
        <v>565232.28</v>
      </c>
      <c r="H19" s="105">
        <v>750976.85</v>
      </c>
      <c r="I19" s="105">
        <v>797190.81</v>
      </c>
      <c r="J19" s="105">
        <v>798968.27</v>
      </c>
      <c r="K19" s="105">
        <v>803411.92</v>
      </c>
      <c r="L19" s="105">
        <v>608780.05000000005</v>
      </c>
      <c r="M19" s="105">
        <v>638108.14</v>
      </c>
      <c r="N19" s="105">
        <v>684322.1</v>
      </c>
      <c r="O19" s="106">
        <v>8905074.5999999978</v>
      </c>
    </row>
    <row r="20" spans="1:15" x14ac:dyDescent="0.2">
      <c r="A20" s="237"/>
      <c r="B20" s="107" t="s">
        <v>25</v>
      </c>
      <c r="C20" s="246">
        <v>17601.570000000065</v>
      </c>
      <c r="D20" s="247">
        <v>24204.419999999925</v>
      </c>
      <c r="E20" s="247">
        <v>14291.100000000093</v>
      </c>
      <c r="F20" s="247">
        <v>10220.850000000035</v>
      </c>
      <c r="G20" s="247">
        <v>11505.239999999991</v>
      </c>
      <c r="H20" s="247">
        <v>15286.04999999993</v>
      </c>
      <c r="I20" s="247">
        <v>16226.730000000098</v>
      </c>
      <c r="J20" s="247">
        <v>16262.910000000033</v>
      </c>
      <c r="K20" s="247">
        <v>16353.360000000102</v>
      </c>
      <c r="L20" s="247">
        <v>12391.650000000023</v>
      </c>
      <c r="M20" s="247">
        <v>12988.619999999995</v>
      </c>
      <c r="N20" s="247">
        <v>13929.29999999993</v>
      </c>
      <c r="O20" s="248">
        <v>181261.80000000022</v>
      </c>
    </row>
    <row r="21" spans="1:15" x14ac:dyDescent="0.2">
      <c r="A21" s="237"/>
      <c r="B21" s="107" t="s">
        <v>26</v>
      </c>
      <c r="C21" s="246">
        <v>561.62683479243651</v>
      </c>
      <c r="D21" s="247">
        <v>772.30904928291886</v>
      </c>
      <c r="E21" s="247">
        <v>455.9971217739207</v>
      </c>
      <c r="F21" s="247">
        <v>326.12452380033568</v>
      </c>
      <c r="G21" s="247">
        <v>367.10654360533363</v>
      </c>
      <c r="H21" s="247">
        <v>487.74375683413041</v>
      </c>
      <c r="I21" s="247">
        <v>517.75875725469223</v>
      </c>
      <c r="J21" s="247">
        <v>518.91318034779079</v>
      </c>
      <c r="K21" s="247">
        <v>521.79923808053718</v>
      </c>
      <c r="L21" s="247">
        <v>395.38990938624772</v>
      </c>
      <c r="M21" s="247">
        <v>414.43789042237353</v>
      </c>
      <c r="N21" s="247">
        <v>444.4528908429354</v>
      </c>
      <c r="O21" s="248">
        <v>5783.6596964236523</v>
      </c>
    </row>
    <row r="22" spans="1:15" x14ac:dyDescent="0.2">
      <c r="A22" s="237"/>
      <c r="B22" s="107" t="s">
        <v>27</v>
      </c>
      <c r="C22" s="246">
        <v>18163.196834792503</v>
      </c>
      <c r="D22" s="247">
        <v>24976.729049282843</v>
      </c>
      <c r="E22" s="247">
        <v>14747.097121774013</v>
      </c>
      <c r="F22" s="247">
        <v>10546.974523800371</v>
      </c>
      <c r="G22" s="247">
        <v>11872.346543605325</v>
      </c>
      <c r="H22" s="247">
        <v>15773.79375683406</v>
      </c>
      <c r="I22" s="247">
        <v>16744.488757254789</v>
      </c>
      <c r="J22" s="247">
        <v>16781.823180347823</v>
      </c>
      <c r="K22" s="247">
        <v>16875.15923808064</v>
      </c>
      <c r="L22" s="247">
        <v>12787.039909386271</v>
      </c>
      <c r="M22" s="247">
        <v>13403.057890422369</v>
      </c>
      <c r="N22" s="247">
        <v>14373.752890842865</v>
      </c>
      <c r="O22" s="248">
        <v>187045.4596964239</v>
      </c>
    </row>
    <row r="23" spans="1:15" x14ac:dyDescent="0.2">
      <c r="A23" s="237"/>
      <c r="B23" s="107" t="s">
        <v>49</v>
      </c>
      <c r="C23" s="108">
        <v>847132.72</v>
      </c>
      <c r="D23" s="96">
        <v>1164916.32</v>
      </c>
      <c r="E23" s="96">
        <v>687805.6</v>
      </c>
      <c r="F23" s="96">
        <v>491911.6</v>
      </c>
      <c r="G23" s="96">
        <v>553727.04</v>
      </c>
      <c r="H23" s="96">
        <v>735690.8</v>
      </c>
      <c r="I23" s="96">
        <v>780964.08</v>
      </c>
      <c r="J23" s="96">
        <v>782705.36</v>
      </c>
      <c r="K23" s="96">
        <v>787058.55999999994</v>
      </c>
      <c r="L23" s="96">
        <v>596388.4</v>
      </c>
      <c r="M23" s="96">
        <v>625119.52</v>
      </c>
      <c r="N23" s="96">
        <v>670392.80000000005</v>
      </c>
      <c r="O23" s="109">
        <v>8723812.8000000007</v>
      </c>
    </row>
    <row r="24" spans="1:15" x14ac:dyDescent="0.2">
      <c r="A24" s="237"/>
      <c r="B24" s="107" t="s">
        <v>87</v>
      </c>
      <c r="C24" s="108">
        <v>0</v>
      </c>
      <c r="D24" s="96">
        <v>0</v>
      </c>
      <c r="E24" s="96">
        <v>0</v>
      </c>
      <c r="F24" s="96">
        <v>0</v>
      </c>
      <c r="G24" s="96">
        <v>0</v>
      </c>
      <c r="H24" s="96">
        <v>0</v>
      </c>
      <c r="I24" s="96">
        <v>0</v>
      </c>
      <c r="J24" s="96">
        <v>0</v>
      </c>
      <c r="K24" s="96">
        <v>0</v>
      </c>
      <c r="L24" s="96">
        <v>0</v>
      </c>
      <c r="M24" s="96">
        <v>0</v>
      </c>
      <c r="N24" s="96">
        <v>0</v>
      </c>
      <c r="O24" s="109">
        <v>0</v>
      </c>
    </row>
    <row r="25" spans="1:15" x14ac:dyDescent="0.2">
      <c r="A25" s="237"/>
      <c r="B25" s="107" t="s">
        <v>89</v>
      </c>
      <c r="C25" s="108">
        <v>0</v>
      </c>
      <c r="D25" s="96">
        <v>0</v>
      </c>
      <c r="E25" s="96">
        <v>0</v>
      </c>
      <c r="F25" s="96">
        <v>0</v>
      </c>
      <c r="G25" s="96">
        <v>0</v>
      </c>
      <c r="H25" s="96">
        <v>0</v>
      </c>
      <c r="I25" s="96">
        <v>0</v>
      </c>
      <c r="J25" s="96">
        <v>0</v>
      </c>
      <c r="K25" s="96">
        <v>0</v>
      </c>
      <c r="L25" s="96">
        <v>0</v>
      </c>
      <c r="M25" s="96">
        <v>0</v>
      </c>
      <c r="N25" s="96">
        <v>0</v>
      </c>
      <c r="O25" s="109">
        <v>0</v>
      </c>
    </row>
    <row r="26" spans="1:15" x14ac:dyDescent="0.2">
      <c r="A26" s="97" t="s">
        <v>15</v>
      </c>
      <c r="B26" s="97" t="s">
        <v>70</v>
      </c>
      <c r="C26" s="104">
        <v>6221.1100000000006</v>
      </c>
      <c r="D26" s="105">
        <v>7109.84</v>
      </c>
      <c r="E26" s="105">
        <v>4443.6499999999996</v>
      </c>
      <c r="F26" s="105">
        <v>5332.38</v>
      </c>
      <c r="G26" s="105">
        <v>3554.92</v>
      </c>
      <c r="H26" s="105">
        <v>11553.49</v>
      </c>
      <c r="I26" s="105">
        <v>15108.41</v>
      </c>
      <c r="J26" s="105">
        <v>15108.41</v>
      </c>
      <c r="K26" s="105">
        <v>14219.68</v>
      </c>
      <c r="L26" s="105">
        <v>4443.6499999999996</v>
      </c>
      <c r="M26" s="105">
        <v>4443.6499999999996</v>
      </c>
      <c r="N26" s="105">
        <v>5332.38</v>
      </c>
      <c r="O26" s="106">
        <v>96871.57</v>
      </c>
    </row>
    <row r="27" spans="1:15" x14ac:dyDescent="0.2">
      <c r="A27" s="237"/>
      <c r="B27" s="107" t="s">
        <v>25</v>
      </c>
      <c r="C27" s="246">
        <v>126.63000000000102</v>
      </c>
      <c r="D27" s="247">
        <v>144.72000000000025</v>
      </c>
      <c r="E27" s="247">
        <v>90.449999999999818</v>
      </c>
      <c r="F27" s="247">
        <v>108.53999999999996</v>
      </c>
      <c r="G27" s="247">
        <v>72.360000000000127</v>
      </c>
      <c r="H27" s="247">
        <v>235.17000000000007</v>
      </c>
      <c r="I27" s="247">
        <v>307.53000000000065</v>
      </c>
      <c r="J27" s="247">
        <v>307.53000000000065</v>
      </c>
      <c r="K27" s="247">
        <v>289.44000000000051</v>
      </c>
      <c r="L27" s="247">
        <v>90.449999999999818</v>
      </c>
      <c r="M27" s="247">
        <v>90.449999999999818</v>
      </c>
      <c r="N27" s="247">
        <v>108.53999999999996</v>
      </c>
      <c r="O27" s="248">
        <v>1971.8100000000027</v>
      </c>
    </row>
    <row r="28" spans="1:15" x14ac:dyDescent="0.2">
      <c r="A28" s="237"/>
      <c r="B28" s="107" t="s">
        <v>26</v>
      </c>
      <c r="C28" s="246">
        <v>4.0404808258448677</v>
      </c>
      <c r="D28" s="247">
        <v>4.6176923723941341</v>
      </c>
      <c r="E28" s="247">
        <v>2.8860577327463335</v>
      </c>
      <c r="F28" s="247">
        <v>3.4632692792956004</v>
      </c>
      <c r="G28" s="247">
        <v>2.3088461861970671</v>
      </c>
      <c r="H28" s="247">
        <v>7.503750105140468</v>
      </c>
      <c r="I28" s="247">
        <v>9.8125962913375346</v>
      </c>
      <c r="J28" s="247">
        <v>9.8125962913375346</v>
      </c>
      <c r="K28" s="247">
        <v>9.2353847447882682</v>
      </c>
      <c r="L28" s="247">
        <v>2.8860577327463335</v>
      </c>
      <c r="M28" s="247">
        <v>2.8860577327463335</v>
      </c>
      <c r="N28" s="247">
        <v>3.4632692792956004</v>
      </c>
      <c r="O28" s="248">
        <v>62.916058573870075</v>
      </c>
    </row>
    <row r="29" spans="1:15" x14ac:dyDescent="0.2">
      <c r="A29" s="237"/>
      <c r="B29" s="107" t="s">
        <v>27</v>
      </c>
      <c r="C29" s="246">
        <v>130.67048082584589</v>
      </c>
      <c r="D29" s="247">
        <v>149.3376923723944</v>
      </c>
      <c r="E29" s="247">
        <v>93.336057732746156</v>
      </c>
      <c r="F29" s="247">
        <v>112.00326927929557</v>
      </c>
      <c r="G29" s="247">
        <v>74.6688461861972</v>
      </c>
      <c r="H29" s="247">
        <v>242.67375010514053</v>
      </c>
      <c r="I29" s="247">
        <v>317.34259629133817</v>
      </c>
      <c r="J29" s="247">
        <v>317.34259629133817</v>
      </c>
      <c r="K29" s="247">
        <v>298.6753847447888</v>
      </c>
      <c r="L29" s="247">
        <v>93.336057732746156</v>
      </c>
      <c r="M29" s="247">
        <v>93.336057732746156</v>
      </c>
      <c r="N29" s="247">
        <v>112.00326927929557</v>
      </c>
      <c r="O29" s="248">
        <v>2034.7260585738729</v>
      </c>
    </row>
    <row r="30" spans="1:15" x14ac:dyDescent="0.2">
      <c r="A30" s="237"/>
      <c r="B30" s="107" t="s">
        <v>49</v>
      </c>
      <c r="C30" s="108">
        <v>6094.48</v>
      </c>
      <c r="D30" s="96">
        <v>6965.12</v>
      </c>
      <c r="E30" s="96">
        <v>4353.2</v>
      </c>
      <c r="F30" s="96">
        <v>5223.84</v>
      </c>
      <c r="G30" s="96">
        <v>3482.56</v>
      </c>
      <c r="H30" s="96">
        <v>11318.32</v>
      </c>
      <c r="I30" s="96">
        <v>14800.88</v>
      </c>
      <c r="J30" s="96">
        <v>14800.88</v>
      </c>
      <c r="K30" s="96">
        <v>13930.24</v>
      </c>
      <c r="L30" s="96">
        <v>4353.2</v>
      </c>
      <c r="M30" s="96">
        <v>4353.2</v>
      </c>
      <c r="N30" s="96">
        <v>5223.84</v>
      </c>
      <c r="O30" s="109">
        <v>94899.76</v>
      </c>
    </row>
    <row r="31" spans="1:15" x14ac:dyDescent="0.2">
      <c r="A31" s="237"/>
      <c r="B31" s="107" t="s">
        <v>87</v>
      </c>
      <c r="C31" s="108">
        <v>0</v>
      </c>
      <c r="D31" s="96">
        <v>0</v>
      </c>
      <c r="E31" s="96">
        <v>0</v>
      </c>
      <c r="F31" s="96">
        <v>0</v>
      </c>
      <c r="G31" s="96">
        <v>0</v>
      </c>
      <c r="H31" s="96">
        <v>0</v>
      </c>
      <c r="I31" s="96">
        <v>0</v>
      </c>
      <c r="J31" s="96">
        <v>0</v>
      </c>
      <c r="K31" s="96">
        <v>0</v>
      </c>
      <c r="L31" s="96">
        <v>0</v>
      </c>
      <c r="M31" s="96">
        <v>0</v>
      </c>
      <c r="N31" s="96">
        <v>0</v>
      </c>
      <c r="O31" s="109">
        <v>0</v>
      </c>
    </row>
    <row r="32" spans="1:15" x14ac:dyDescent="0.2">
      <c r="A32" s="237"/>
      <c r="B32" s="107" t="s">
        <v>89</v>
      </c>
      <c r="C32" s="108">
        <v>0</v>
      </c>
      <c r="D32" s="96">
        <v>0</v>
      </c>
      <c r="E32" s="96">
        <v>0</v>
      </c>
      <c r="F32" s="96">
        <v>0</v>
      </c>
      <c r="G32" s="96">
        <v>0</v>
      </c>
      <c r="H32" s="96">
        <v>0</v>
      </c>
      <c r="I32" s="96">
        <v>0</v>
      </c>
      <c r="J32" s="96">
        <v>0</v>
      </c>
      <c r="K32" s="96">
        <v>0</v>
      </c>
      <c r="L32" s="96">
        <v>0</v>
      </c>
      <c r="M32" s="96">
        <v>0</v>
      </c>
      <c r="N32" s="96">
        <v>0</v>
      </c>
      <c r="O32" s="109">
        <v>0</v>
      </c>
    </row>
    <row r="33" spans="1:15" x14ac:dyDescent="0.2">
      <c r="A33" s="97" t="s">
        <v>16</v>
      </c>
      <c r="B33" s="97" t="s">
        <v>70</v>
      </c>
      <c r="C33" s="104">
        <v>2666.19</v>
      </c>
      <c r="D33" s="105">
        <v>4443.6499999999996</v>
      </c>
      <c r="E33" s="105">
        <v>3554.92</v>
      </c>
      <c r="F33" s="105">
        <v>3554.92</v>
      </c>
      <c r="G33" s="105">
        <v>2666.19</v>
      </c>
      <c r="H33" s="105">
        <v>4443.6499999999996</v>
      </c>
      <c r="I33" s="105">
        <v>4443.6499999999996</v>
      </c>
      <c r="J33" s="105">
        <v>3554.92</v>
      </c>
      <c r="K33" s="105">
        <v>3554.92</v>
      </c>
      <c r="L33" s="105">
        <v>3554.92</v>
      </c>
      <c r="M33" s="105">
        <v>3554.92</v>
      </c>
      <c r="N33" s="105">
        <v>888.73</v>
      </c>
      <c r="O33" s="106">
        <v>40881.579999999994</v>
      </c>
    </row>
    <row r="34" spans="1:15" x14ac:dyDescent="0.2">
      <c r="A34" s="237"/>
      <c r="B34" s="107" t="s">
        <v>25</v>
      </c>
      <c r="C34" s="246">
        <v>54.269999999999982</v>
      </c>
      <c r="D34" s="247">
        <v>90.449999999999818</v>
      </c>
      <c r="E34" s="247">
        <v>72.360000000000127</v>
      </c>
      <c r="F34" s="247">
        <v>72.360000000000127</v>
      </c>
      <c r="G34" s="247">
        <v>54.269999999999982</v>
      </c>
      <c r="H34" s="247">
        <v>90.449999999999818</v>
      </c>
      <c r="I34" s="247">
        <v>90.449999999999818</v>
      </c>
      <c r="J34" s="247">
        <v>72.360000000000127</v>
      </c>
      <c r="K34" s="247">
        <v>72.360000000000127</v>
      </c>
      <c r="L34" s="247">
        <v>72.360000000000127</v>
      </c>
      <c r="M34" s="247">
        <v>72.360000000000127</v>
      </c>
      <c r="N34" s="247">
        <v>18.090000000000032</v>
      </c>
      <c r="O34" s="248">
        <v>832.14000000000021</v>
      </c>
    </row>
    <row r="35" spans="1:15" x14ac:dyDescent="0.2">
      <c r="A35" s="237"/>
      <c r="B35" s="107" t="s">
        <v>26</v>
      </c>
      <c r="C35" s="246">
        <v>1.7316346396478002</v>
      </c>
      <c r="D35" s="247">
        <v>2.8860577327463335</v>
      </c>
      <c r="E35" s="247">
        <v>2.3088461861970671</v>
      </c>
      <c r="F35" s="247">
        <v>2.3088461861970671</v>
      </c>
      <c r="G35" s="247">
        <v>1.7316346396478002</v>
      </c>
      <c r="H35" s="247">
        <v>2.8860577327463335</v>
      </c>
      <c r="I35" s="247">
        <v>2.8860577327463335</v>
      </c>
      <c r="J35" s="247">
        <v>2.3088461861970671</v>
      </c>
      <c r="K35" s="247">
        <v>2.3088461861970671</v>
      </c>
      <c r="L35" s="247">
        <v>2.3088461861970671</v>
      </c>
      <c r="M35" s="247">
        <v>2.3088461861970671</v>
      </c>
      <c r="N35" s="247">
        <v>0.57721154654926676</v>
      </c>
      <c r="O35" s="248">
        <v>26.551731141266266</v>
      </c>
    </row>
    <row r="36" spans="1:15" x14ac:dyDescent="0.2">
      <c r="A36" s="237"/>
      <c r="B36" s="107" t="s">
        <v>27</v>
      </c>
      <c r="C36" s="246">
        <v>56.001634639647783</v>
      </c>
      <c r="D36" s="247">
        <v>93.336057732746156</v>
      </c>
      <c r="E36" s="247">
        <v>74.6688461861972</v>
      </c>
      <c r="F36" s="247">
        <v>74.6688461861972</v>
      </c>
      <c r="G36" s="247">
        <v>56.001634639647783</v>
      </c>
      <c r="H36" s="247">
        <v>93.336057732746156</v>
      </c>
      <c r="I36" s="247">
        <v>93.336057732746156</v>
      </c>
      <c r="J36" s="247">
        <v>74.6688461861972</v>
      </c>
      <c r="K36" s="247">
        <v>74.6688461861972</v>
      </c>
      <c r="L36" s="247">
        <v>74.6688461861972</v>
      </c>
      <c r="M36" s="247">
        <v>74.6688461861972</v>
      </c>
      <c r="N36" s="247">
        <v>18.6672115465493</v>
      </c>
      <c r="O36" s="248">
        <v>858.6917311412667</v>
      </c>
    </row>
    <row r="37" spans="1:15" x14ac:dyDescent="0.2">
      <c r="A37" s="237"/>
      <c r="B37" s="107" t="s">
        <v>49</v>
      </c>
      <c r="C37" s="108">
        <v>2611.92</v>
      </c>
      <c r="D37" s="96">
        <v>4353.2</v>
      </c>
      <c r="E37" s="96">
        <v>3482.56</v>
      </c>
      <c r="F37" s="96">
        <v>3482.56</v>
      </c>
      <c r="G37" s="96">
        <v>2611.92</v>
      </c>
      <c r="H37" s="96">
        <v>4353.2</v>
      </c>
      <c r="I37" s="96">
        <v>4353.2</v>
      </c>
      <c r="J37" s="96">
        <v>3482.56</v>
      </c>
      <c r="K37" s="96">
        <v>3482.56</v>
      </c>
      <c r="L37" s="96">
        <v>3482.56</v>
      </c>
      <c r="M37" s="96">
        <v>3482.56</v>
      </c>
      <c r="N37" s="96">
        <v>870.64</v>
      </c>
      <c r="O37" s="109">
        <v>40049.440000000002</v>
      </c>
    </row>
    <row r="38" spans="1:15" x14ac:dyDescent="0.2">
      <c r="A38" s="237"/>
      <c r="B38" s="107" t="s">
        <v>87</v>
      </c>
      <c r="C38" s="108">
        <v>0</v>
      </c>
      <c r="D38" s="96">
        <v>0</v>
      </c>
      <c r="E38" s="96">
        <v>0</v>
      </c>
      <c r="F38" s="96">
        <v>0</v>
      </c>
      <c r="G38" s="96">
        <v>0</v>
      </c>
      <c r="H38" s="96">
        <v>0</v>
      </c>
      <c r="I38" s="96">
        <v>0</v>
      </c>
      <c r="J38" s="96">
        <v>0</v>
      </c>
      <c r="K38" s="96">
        <v>0</v>
      </c>
      <c r="L38" s="96">
        <v>0</v>
      </c>
      <c r="M38" s="96">
        <v>0</v>
      </c>
      <c r="N38" s="96">
        <v>0</v>
      </c>
      <c r="O38" s="109">
        <v>0</v>
      </c>
    </row>
    <row r="39" spans="1:15" x14ac:dyDescent="0.2">
      <c r="A39" s="237"/>
      <c r="B39" s="107" t="s">
        <v>89</v>
      </c>
      <c r="C39" s="108">
        <v>0</v>
      </c>
      <c r="D39" s="96">
        <v>0</v>
      </c>
      <c r="E39" s="96">
        <v>0</v>
      </c>
      <c r="F39" s="96">
        <v>0</v>
      </c>
      <c r="G39" s="96">
        <v>0</v>
      </c>
      <c r="H39" s="96">
        <v>0</v>
      </c>
      <c r="I39" s="96">
        <v>0</v>
      </c>
      <c r="J39" s="96">
        <v>0</v>
      </c>
      <c r="K39" s="96">
        <v>0</v>
      </c>
      <c r="L39" s="96">
        <v>0</v>
      </c>
      <c r="M39" s="96">
        <v>0</v>
      </c>
      <c r="N39" s="96">
        <v>0</v>
      </c>
      <c r="O39" s="109">
        <v>0</v>
      </c>
    </row>
    <row r="40" spans="1:15" x14ac:dyDescent="0.2">
      <c r="A40" s="97" t="s">
        <v>19</v>
      </c>
      <c r="B40" s="97" t="s">
        <v>70</v>
      </c>
      <c r="C40" s="104">
        <v>32883.01</v>
      </c>
      <c r="D40" s="105">
        <v>29328.09</v>
      </c>
      <c r="E40" s="105">
        <v>41770.31</v>
      </c>
      <c r="F40" s="105">
        <v>34660.47</v>
      </c>
      <c r="G40" s="105">
        <v>40881.58</v>
      </c>
      <c r="H40" s="105">
        <v>45325.23</v>
      </c>
      <c r="I40" s="105">
        <v>40881.58</v>
      </c>
      <c r="J40" s="105">
        <v>44436.5</v>
      </c>
      <c r="K40" s="105">
        <v>39992.85</v>
      </c>
      <c r="L40" s="105">
        <v>40881.58</v>
      </c>
      <c r="M40" s="105">
        <v>42659.040000000001</v>
      </c>
      <c r="N40" s="105">
        <v>37326.660000000003</v>
      </c>
      <c r="O40" s="106">
        <v>471026.9</v>
      </c>
    </row>
    <row r="41" spans="1:15" x14ac:dyDescent="0.2">
      <c r="A41" s="237"/>
      <c r="B41" s="107" t="s">
        <v>25</v>
      </c>
      <c r="C41" s="246">
        <v>669.33000000000175</v>
      </c>
      <c r="D41" s="247">
        <v>596.97000000000116</v>
      </c>
      <c r="E41" s="247">
        <v>850.22999999999593</v>
      </c>
      <c r="F41" s="247">
        <v>705.51000000000204</v>
      </c>
      <c r="G41" s="247">
        <v>832.13999999999942</v>
      </c>
      <c r="H41" s="247">
        <v>922.59000000000378</v>
      </c>
      <c r="I41" s="247">
        <v>832.13999999999942</v>
      </c>
      <c r="J41" s="247">
        <v>904.5</v>
      </c>
      <c r="K41" s="247">
        <v>814.04999999999563</v>
      </c>
      <c r="L41" s="247">
        <v>832.13999999999942</v>
      </c>
      <c r="M41" s="247">
        <v>868.31999999999971</v>
      </c>
      <c r="N41" s="247">
        <v>759.78000000000611</v>
      </c>
      <c r="O41" s="248">
        <v>9587.7000000000044</v>
      </c>
    </row>
    <row r="42" spans="1:15" x14ac:dyDescent="0.2">
      <c r="A42" s="237"/>
      <c r="B42" s="107" t="s">
        <v>26</v>
      </c>
      <c r="C42" s="246">
        <v>21.35682722232287</v>
      </c>
      <c r="D42" s="247">
        <v>19.047981036125801</v>
      </c>
      <c r="E42" s="247">
        <v>27.128942687815538</v>
      </c>
      <c r="F42" s="247">
        <v>22.511250315421403</v>
      </c>
      <c r="G42" s="247">
        <v>26.55173114126627</v>
      </c>
      <c r="H42" s="247">
        <v>29.437788874012607</v>
      </c>
      <c r="I42" s="247">
        <v>26.55173114126627</v>
      </c>
      <c r="J42" s="247">
        <v>28.860577327463339</v>
      </c>
      <c r="K42" s="247">
        <v>25.974519594717005</v>
      </c>
      <c r="L42" s="247">
        <v>26.55173114126627</v>
      </c>
      <c r="M42" s="247">
        <v>27.706154234364803</v>
      </c>
      <c r="N42" s="247">
        <v>24.242884955069201</v>
      </c>
      <c r="O42" s="248">
        <v>305.92211967111137</v>
      </c>
    </row>
    <row r="43" spans="1:15" x14ac:dyDescent="0.2">
      <c r="A43" s="237"/>
      <c r="B43" s="107" t="s">
        <v>27</v>
      </c>
      <c r="C43" s="246">
        <v>690.68682722232461</v>
      </c>
      <c r="D43" s="247">
        <v>616.01798103612691</v>
      </c>
      <c r="E43" s="247">
        <v>877.35894268781146</v>
      </c>
      <c r="F43" s="247">
        <v>728.02125031542346</v>
      </c>
      <c r="G43" s="247">
        <v>858.69173114126568</v>
      </c>
      <c r="H43" s="247">
        <v>952.02778887401644</v>
      </c>
      <c r="I43" s="247">
        <v>858.69173114126568</v>
      </c>
      <c r="J43" s="247">
        <v>933.36057732746337</v>
      </c>
      <c r="K43" s="247">
        <v>840.02451959471261</v>
      </c>
      <c r="L43" s="247">
        <v>858.69173114126568</v>
      </c>
      <c r="M43" s="247">
        <v>896.02615423436453</v>
      </c>
      <c r="N43" s="247">
        <v>784.02288495507537</v>
      </c>
      <c r="O43" s="248">
        <v>9893.6221196711158</v>
      </c>
    </row>
    <row r="44" spans="1:15" x14ac:dyDescent="0.2">
      <c r="A44" s="237"/>
      <c r="B44" s="107" t="s">
        <v>49</v>
      </c>
      <c r="C44" s="108">
        <v>32213.68</v>
      </c>
      <c r="D44" s="96">
        <v>28731.119999999999</v>
      </c>
      <c r="E44" s="96">
        <v>40920.080000000002</v>
      </c>
      <c r="F44" s="96">
        <v>33954.959999999999</v>
      </c>
      <c r="G44" s="96">
        <v>40049.440000000002</v>
      </c>
      <c r="H44" s="96">
        <v>44402.64</v>
      </c>
      <c r="I44" s="96">
        <v>40049.440000000002</v>
      </c>
      <c r="J44" s="96">
        <v>43532</v>
      </c>
      <c r="K44" s="96">
        <v>39178.800000000003</v>
      </c>
      <c r="L44" s="96">
        <v>40049.440000000002</v>
      </c>
      <c r="M44" s="96">
        <v>41790.720000000001</v>
      </c>
      <c r="N44" s="96">
        <v>36566.879999999997</v>
      </c>
      <c r="O44" s="109">
        <v>461439.19999999995</v>
      </c>
    </row>
    <row r="45" spans="1:15" x14ac:dyDescent="0.2">
      <c r="A45" s="237"/>
      <c r="B45" s="107" t="s">
        <v>87</v>
      </c>
      <c r="C45" s="108">
        <v>0</v>
      </c>
      <c r="D45" s="96"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J45" s="96">
        <v>0</v>
      </c>
      <c r="K45" s="96">
        <v>0</v>
      </c>
      <c r="L45" s="96">
        <v>0</v>
      </c>
      <c r="M45" s="96">
        <v>0</v>
      </c>
      <c r="N45" s="96">
        <v>0</v>
      </c>
      <c r="O45" s="109">
        <v>0</v>
      </c>
    </row>
    <row r="46" spans="1:15" x14ac:dyDescent="0.2">
      <c r="A46" s="237"/>
      <c r="B46" s="107" t="s">
        <v>89</v>
      </c>
      <c r="C46" s="108">
        <v>0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J46" s="96">
        <v>0</v>
      </c>
      <c r="K46" s="96">
        <v>0</v>
      </c>
      <c r="L46" s="96">
        <v>0</v>
      </c>
      <c r="M46" s="96">
        <v>0</v>
      </c>
      <c r="N46" s="96">
        <v>0</v>
      </c>
      <c r="O46" s="109">
        <v>0</v>
      </c>
    </row>
    <row r="47" spans="1:15" x14ac:dyDescent="0.2">
      <c r="A47" s="97" t="s">
        <v>8</v>
      </c>
      <c r="B47" s="97" t="s">
        <v>70</v>
      </c>
      <c r="C47" s="104">
        <v>67543.48</v>
      </c>
      <c r="D47" s="105">
        <v>87984.27</v>
      </c>
      <c r="E47" s="105">
        <v>58656.18</v>
      </c>
      <c r="F47" s="105">
        <v>59544.91</v>
      </c>
      <c r="G47" s="105">
        <v>89761.73</v>
      </c>
      <c r="H47" s="105">
        <v>125310.93000000001</v>
      </c>
      <c r="I47" s="105">
        <v>128865.85</v>
      </c>
      <c r="J47" s="105">
        <v>132420.76999999999</v>
      </c>
      <c r="K47" s="105">
        <v>133309.5</v>
      </c>
      <c r="L47" s="105">
        <v>101315.22</v>
      </c>
      <c r="M47" s="105">
        <v>58656.18</v>
      </c>
      <c r="N47" s="105">
        <v>63988.56</v>
      </c>
      <c r="O47" s="106">
        <v>1107357.58</v>
      </c>
    </row>
    <row r="48" spans="1:15" x14ac:dyDescent="0.2">
      <c r="A48" s="237"/>
      <c r="B48" s="107" t="s">
        <v>25</v>
      </c>
      <c r="C48" s="246">
        <v>1374.8399999999965</v>
      </c>
      <c r="D48" s="247">
        <v>1790.9100000000035</v>
      </c>
      <c r="E48" s="247">
        <v>1193.9400000000023</v>
      </c>
      <c r="F48" s="247">
        <v>1212.0300000000061</v>
      </c>
      <c r="G48" s="247">
        <v>1827.0899999999965</v>
      </c>
      <c r="H48" s="247">
        <v>2550.6900000000023</v>
      </c>
      <c r="I48" s="247">
        <v>2623.0500000000029</v>
      </c>
      <c r="J48" s="247">
        <v>2695.4099999999889</v>
      </c>
      <c r="K48" s="247">
        <v>2713.5</v>
      </c>
      <c r="L48" s="247">
        <v>2062.2600000000093</v>
      </c>
      <c r="M48" s="247">
        <v>1193.9400000000023</v>
      </c>
      <c r="N48" s="247">
        <v>1302.4799999999959</v>
      </c>
      <c r="O48" s="248">
        <v>22540.140000000007</v>
      </c>
    </row>
    <row r="49" spans="1:15" x14ac:dyDescent="0.2">
      <c r="A49" s="237"/>
      <c r="B49" s="107" t="s">
        <v>26</v>
      </c>
      <c r="C49" s="246">
        <v>43.86807753774427</v>
      </c>
      <c r="D49" s="247">
        <v>57.143943108377414</v>
      </c>
      <c r="E49" s="247">
        <v>38.095962072251602</v>
      </c>
      <c r="F49" s="247">
        <v>38.673173618800867</v>
      </c>
      <c r="G49" s="247">
        <v>58.298366201475943</v>
      </c>
      <c r="H49" s="247">
        <v>81.386828063446615</v>
      </c>
      <c r="I49" s="247">
        <v>83.695674249643687</v>
      </c>
      <c r="J49" s="247">
        <v>86.004520435840746</v>
      </c>
      <c r="K49" s="247">
        <v>86.581731982390011</v>
      </c>
      <c r="L49" s="247">
        <v>65.802116306616412</v>
      </c>
      <c r="M49" s="247">
        <v>38.095962072251602</v>
      </c>
      <c r="N49" s="247">
        <v>41.559231351547204</v>
      </c>
      <c r="O49" s="248">
        <v>719.20558700038634</v>
      </c>
    </row>
    <row r="50" spans="1:15" x14ac:dyDescent="0.2">
      <c r="A50" s="237"/>
      <c r="B50" s="107" t="s">
        <v>27</v>
      </c>
      <c r="C50" s="246">
        <v>1418.7080775377408</v>
      </c>
      <c r="D50" s="247">
        <v>1848.053943108381</v>
      </c>
      <c r="E50" s="247">
        <v>1232.0359620722538</v>
      </c>
      <c r="F50" s="247">
        <v>1250.7031736188069</v>
      </c>
      <c r="G50" s="247">
        <v>1885.3883662014725</v>
      </c>
      <c r="H50" s="247">
        <v>2632.0768280634488</v>
      </c>
      <c r="I50" s="247">
        <v>2706.7456742496465</v>
      </c>
      <c r="J50" s="247">
        <v>2781.4145204358297</v>
      </c>
      <c r="K50" s="247">
        <v>2800.08173198239</v>
      </c>
      <c r="L50" s="247">
        <v>2128.0621163066257</v>
      </c>
      <c r="M50" s="247">
        <v>1232.0359620722538</v>
      </c>
      <c r="N50" s="247">
        <v>1344.0392313515431</v>
      </c>
      <c r="O50" s="248">
        <v>23259.345587000393</v>
      </c>
    </row>
    <row r="51" spans="1:15" x14ac:dyDescent="0.2">
      <c r="A51" s="237"/>
      <c r="B51" s="107" t="s">
        <v>49</v>
      </c>
      <c r="C51" s="108">
        <v>66168.639999999999</v>
      </c>
      <c r="D51" s="96">
        <v>86193.36</v>
      </c>
      <c r="E51" s="96">
        <v>57462.239999999998</v>
      </c>
      <c r="F51" s="96">
        <v>58332.88</v>
      </c>
      <c r="G51" s="96">
        <v>87934.64</v>
      </c>
      <c r="H51" s="96">
        <v>122760.24</v>
      </c>
      <c r="I51" s="96">
        <v>126242.8</v>
      </c>
      <c r="J51" s="96">
        <v>129725.36</v>
      </c>
      <c r="K51" s="96">
        <v>130596</v>
      </c>
      <c r="L51" s="96">
        <v>99252.959999999992</v>
      </c>
      <c r="M51" s="96">
        <v>57462.239999999998</v>
      </c>
      <c r="N51" s="96">
        <v>62686.080000000002</v>
      </c>
      <c r="O51" s="109">
        <v>1084817.44</v>
      </c>
    </row>
    <row r="52" spans="1:15" x14ac:dyDescent="0.2">
      <c r="A52" s="237"/>
      <c r="B52" s="107" t="s">
        <v>87</v>
      </c>
      <c r="C52" s="108">
        <v>0</v>
      </c>
      <c r="D52" s="96">
        <v>0</v>
      </c>
      <c r="E52" s="96">
        <v>0</v>
      </c>
      <c r="F52" s="96">
        <v>0</v>
      </c>
      <c r="G52" s="96">
        <v>0</v>
      </c>
      <c r="H52" s="96">
        <v>0</v>
      </c>
      <c r="I52" s="96">
        <v>0</v>
      </c>
      <c r="J52" s="96">
        <v>0</v>
      </c>
      <c r="K52" s="96">
        <v>0</v>
      </c>
      <c r="L52" s="96">
        <v>0</v>
      </c>
      <c r="M52" s="96">
        <v>0</v>
      </c>
      <c r="N52" s="96">
        <v>0</v>
      </c>
      <c r="O52" s="109">
        <v>0</v>
      </c>
    </row>
    <row r="53" spans="1:15" x14ac:dyDescent="0.2">
      <c r="A53" s="237"/>
      <c r="B53" s="107" t="s">
        <v>89</v>
      </c>
      <c r="C53" s="108">
        <v>0</v>
      </c>
      <c r="D53" s="96">
        <v>0</v>
      </c>
      <c r="E53" s="96">
        <v>0</v>
      </c>
      <c r="F53" s="96">
        <v>0</v>
      </c>
      <c r="G53" s="96">
        <v>0</v>
      </c>
      <c r="H53" s="96">
        <v>0</v>
      </c>
      <c r="I53" s="96">
        <v>0</v>
      </c>
      <c r="J53" s="96">
        <v>0</v>
      </c>
      <c r="K53" s="96">
        <v>0</v>
      </c>
      <c r="L53" s="96">
        <v>0</v>
      </c>
      <c r="M53" s="96">
        <v>0</v>
      </c>
      <c r="N53" s="96">
        <v>0</v>
      </c>
      <c r="O53" s="109">
        <v>0</v>
      </c>
    </row>
    <row r="54" spans="1:15" x14ac:dyDescent="0.2">
      <c r="A54" s="97" t="s">
        <v>21</v>
      </c>
      <c r="B54" s="97" t="s">
        <v>70</v>
      </c>
      <c r="C54" s="104">
        <v>2253819.2800000003</v>
      </c>
      <c r="D54" s="105">
        <v>2644860.48</v>
      </c>
      <c r="E54" s="105">
        <v>1957872.19</v>
      </c>
      <c r="F54" s="105">
        <v>1907214.58</v>
      </c>
      <c r="G54" s="105">
        <v>2631529.5300000003</v>
      </c>
      <c r="H54" s="105">
        <v>3401169.71</v>
      </c>
      <c r="I54" s="105">
        <v>3499818.74</v>
      </c>
      <c r="J54" s="105">
        <v>3556697.46</v>
      </c>
      <c r="K54" s="105">
        <v>3580693.17</v>
      </c>
      <c r="L54" s="105">
        <v>2775503.79</v>
      </c>
      <c r="M54" s="105">
        <v>2011195.99</v>
      </c>
      <c r="N54" s="105">
        <v>2114288.67</v>
      </c>
      <c r="O54" s="106">
        <v>32334663.589999996</v>
      </c>
    </row>
    <row r="55" spans="1:15" x14ac:dyDescent="0.2">
      <c r="A55" s="237"/>
      <c r="B55" s="107" t="s">
        <v>25</v>
      </c>
      <c r="C55" s="246">
        <v>45876.240000000224</v>
      </c>
      <c r="D55" s="247">
        <v>53835.839999999851</v>
      </c>
      <c r="E55" s="247">
        <v>39852.270000000019</v>
      </c>
      <c r="F55" s="247">
        <v>38821.14000000013</v>
      </c>
      <c r="G55" s="247">
        <v>53564.490000000224</v>
      </c>
      <c r="H55" s="247">
        <v>69230.430000000168</v>
      </c>
      <c r="I55" s="247">
        <v>71238.420000000391</v>
      </c>
      <c r="J55" s="247">
        <v>72396.180000000168</v>
      </c>
      <c r="K55" s="247">
        <v>72884.60999999987</v>
      </c>
      <c r="L55" s="247">
        <v>56495.070000000298</v>
      </c>
      <c r="M55" s="247">
        <v>40937.669999999925</v>
      </c>
      <c r="N55" s="247">
        <v>43036.10999999987</v>
      </c>
      <c r="O55" s="248">
        <v>658168.47000000114</v>
      </c>
    </row>
    <row r="56" spans="1:15" x14ac:dyDescent="0.2">
      <c r="A56" s="237"/>
      <c r="B56" s="107" t="s">
        <v>26</v>
      </c>
      <c r="C56" s="246">
        <v>1463.8084820489405</v>
      </c>
      <c r="D56" s="247">
        <v>1717.7815625306177</v>
      </c>
      <c r="E56" s="247">
        <v>1271.5970370480347</v>
      </c>
      <c r="F56" s="247">
        <v>1238.6959788947265</v>
      </c>
      <c r="G56" s="247">
        <v>1709.1233893323788</v>
      </c>
      <c r="H56" s="247">
        <v>2208.9885886440438</v>
      </c>
      <c r="I56" s="247">
        <v>2273.0590703110124</v>
      </c>
      <c r="J56" s="247">
        <v>2310.0006092901654</v>
      </c>
      <c r="K56" s="247">
        <v>2325.5853210469959</v>
      </c>
      <c r="L56" s="247">
        <v>1802.6316598733601</v>
      </c>
      <c r="M56" s="247">
        <v>1306.2297298409908</v>
      </c>
      <c r="N56" s="247">
        <v>1373.1862692407055</v>
      </c>
      <c r="O56" s="248">
        <v>21000.68769810197</v>
      </c>
    </row>
    <row r="57" spans="1:15" x14ac:dyDescent="0.2">
      <c r="A57" s="237"/>
      <c r="B57" s="107" t="s">
        <v>27</v>
      </c>
      <c r="C57" s="246">
        <v>47340.048482049162</v>
      </c>
      <c r="D57" s="247">
        <v>55553.621562530469</v>
      </c>
      <c r="E57" s="247">
        <v>41123.867037048054</v>
      </c>
      <c r="F57" s="247">
        <v>40059.835978894858</v>
      </c>
      <c r="G57" s="247">
        <v>55273.613389332604</v>
      </c>
      <c r="H57" s="247">
        <v>71439.418588644214</v>
      </c>
      <c r="I57" s="247">
        <v>73511.479070311398</v>
      </c>
      <c r="J57" s="247">
        <v>74706.180609290328</v>
      </c>
      <c r="K57" s="247">
        <v>75210.195321046864</v>
      </c>
      <c r="L57" s="247">
        <v>58297.701659873659</v>
      </c>
      <c r="M57" s="247">
        <v>42243.899729840916</v>
      </c>
      <c r="N57" s="247">
        <v>44409.296269240578</v>
      </c>
      <c r="O57" s="248">
        <v>679169.15769810311</v>
      </c>
    </row>
    <row r="58" spans="1:15" x14ac:dyDescent="0.2">
      <c r="A58" s="237"/>
      <c r="B58" s="107" t="s">
        <v>49</v>
      </c>
      <c r="C58" s="108">
        <v>2207943.04</v>
      </c>
      <c r="D58" s="96">
        <v>2591024.64</v>
      </c>
      <c r="E58" s="96">
        <v>1918019.92</v>
      </c>
      <c r="F58" s="96">
        <v>1868393.44</v>
      </c>
      <c r="G58" s="96">
        <v>2577965.04</v>
      </c>
      <c r="H58" s="96">
        <v>3331939.28</v>
      </c>
      <c r="I58" s="96">
        <v>3428580.32</v>
      </c>
      <c r="J58" s="96">
        <v>3484301.28</v>
      </c>
      <c r="K58" s="96">
        <v>3507808.56</v>
      </c>
      <c r="L58" s="96">
        <v>2719008.7199999997</v>
      </c>
      <c r="M58" s="96">
        <v>1970258.32</v>
      </c>
      <c r="N58" s="96">
        <v>2071252.56</v>
      </c>
      <c r="O58" s="109">
        <v>31676495.119999994</v>
      </c>
    </row>
    <row r="59" spans="1:15" x14ac:dyDescent="0.2">
      <c r="A59" s="237"/>
      <c r="B59" s="107" t="s">
        <v>87</v>
      </c>
      <c r="C59" s="108">
        <v>0</v>
      </c>
      <c r="D59" s="96">
        <v>0</v>
      </c>
      <c r="E59" s="96">
        <v>0</v>
      </c>
      <c r="F59" s="96">
        <v>0</v>
      </c>
      <c r="G59" s="96">
        <v>0</v>
      </c>
      <c r="H59" s="96">
        <v>0</v>
      </c>
      <c r="I59" s="96">
        <v>0</v>
      </c>
      <c r="J59" s="96">
        <v>0</v>
      </c>
      <c r="K59" s="96">
        <v>0</v>
      </c>
      <c r="L59" s="96">
        <v>0</v>
      </c>
      <c r="M59" s="96">
        <v>0</v>
      </c>
      <c r="N59" s="96">
        <v>0</v>
      </c>
      <c r="O59" s="109">
        <v>0</v>
      </c>
    </row>
    <row r="60" spans="1:15" x14ac:dyDescent="0.2">
      <c r="A60" s="237"/>
      <c r="B60" s="107" t="s">
        <v>89</v>
      </c>
      <c r="C60" s="108">
        <v>0</v>
      </c>
      <c r="D60" s="96">
        <v>0</v>
      </c>
      <c r="E60" s="96">
        <v>0</v>
      </c>
      <c r="F60" s="96">
        <v>0</v>
      </c>
      <c r="G60" s="96">
        <v>0</v>
      </c>
      <c r="H60" s="96">
        <v>0</v>
      </c>
      <c r="I60" s="96">
        <v>0</v>
      </c>
      <c r="J60" s="96">
        <v>0</v>
      </c>
      <c r="K60" s="96">
        <v>0</v>
      </c>
      <c r="L60" s="96">
        <v>0</v>
      </c>
      <c r="M60" s="96">
        <v>0</v>
      </c>
      <c r="N60" s="96">
        <v>0</v>
      </c>
      <c r="O60" s="109">
        <v>0</v>
      </c>
    </row>
    <row r="61" spans="1:15" x14ac:dyDescent="0.2">
      <c r="A61" s="97" t="s">
        <v>22</v>
      </c>
      <c r="B61" s="97" t="s">
        <v>70</v>
      </c>
      <c r="C61" s="104">
        <v>2462670.83</v>
      </c>
      <c r="D61" s="105">
        <v>2787057.2800000003</v>
      </c>
      <c r="E61" s="105">
        <v>2078739.47</v>
      </c>
      <c r="F61" s="105">
        <v>2127619.62</v>
      </c>
      <c r="G61" s="105">
        <v>2494665.11</v>
      </c>
      <c r="H61" s="105">
        <v>2972801.85</v>
      </c>
      <c r="I61" s="105">
        <v>3132773.25</v>
      </c>
      <c r="J61" s="105">
        <v>3122997.22</v>
      </c>
      <c r="K61" s="105">
        <v>3098112.7800000003</v>
      </c>
      <c r="L61" s="105">
        <v>2468003.21</v>
      </c>
      <c r="M61" s="105">
        <v>2029859.32</v>
      </c>
      <c r="N61" s="105">
        <v>2155170.25</v>
      </c>
      <c r="O61" s="106">
        <v>30930470.189999998</v>
      </c>
    </row>
    <row r="62" spans="1:15" x14ac:dyDescent="0.2">
      <c r="A62" s="237"/>
      <c r="B62" s="107" t="s">
        <v>25</v>
      </c>
      <c r="C62" s="246">
        <v>50127.39000000013</v>
      </c>
      <c r="D62" s="247">
        <v>56730.240000000224</v>
      </c>
      <c r="E62" s="247">
        <v>42312.510000000009</v>
      </c>
      <c r="F62" s="247">
        <v>43307.460000000196</v>
      </c>
      <c r="G62" s="247">
        <v>50778.629999999888</v>
      </c>
      <c r="H62" s="247">
        <v>60511.050000000279</v>
      </c>
      <c r="I62" s="247">
        <v>63767.25</v>
      </c>
      <c r="J62" s="247">
        <v>63568.260000000242</v>
      </c>
      <c r="K62" s="247">
        <v>63061.740000000224</v>
      </c>
      <c r="L62" s="247">
        <v>50235.930000000168</v>
      </c>
      <c r="M62" s="247">
        <v>41317.560000000056</v>
      </c>
      <c r="N62" s="247">
        <v>43868.25</v>
      </c>
      <c r="O62" s="248">
        <v>629586.27000000142</v>
      </c>
    </row>
    <row r="63" spans="1:15" x14ac:dyDescent="0.2">
      <c r="A63" s="237"/>
      <c r="B63" s="107" t="s">
        <v>26</v>
      </c>
      <c r="C63" s="246">
        <v>1599.4531954880181</v>
      </c>
      <c r="D63" s="247">
        <v>1810.1354099785008</v>
      </c>
      <c r="E63" s="247">
        <v>1350.0978073787348</v>
      </c>
      <c r="F63" s="247">
        <v>1381.8444424389445</v>
      </c>
      <c r="G63" s="247">
        <v>1620.2328111637917</v>
      </c>
      <c r="H63" s="247">
        <v>1930.7726232072973</v>
      </c>
      <c r="I63" s="247">
        <v>2034.6707015861653</v>
      </c>
      <c r="J63" s="247">
        <v>2028.3213745741232</v>
      </c>
      <c r="K63" s="247">
        <v>2012.1594512707441</v>
      </c>
      <c r="L63" s="247">
        <v>1602.9164647673138</v>
      </c>
      <c r="M63" s="247">
        <v>1318.3511723185252</v>
      </c>
      <c r="N63" s="247">
        <v>1399.7380003819719</v>
      </c>
      <c r="O63" s="248">
        <v>20088.69345455413</v>
      </c>
    </row>
    <row r="64" spans="1:15" x14ac:dyDescent="0.2">
      <c r="A64" s="237"/>
      <c r="B64" s="107" t="s">
        <v>27</v>
      </c>
      <c r="C64" s="246">
        <v>51726.843195488145</v>
      </c>
      <c r="D64" s="247">
        <v>58540.375409978726</v>
      </c>
      <c r="E64" s="247">
        <v>43662.607807378743</v>
      </c>
      <c r="F64" s="247">
        <v>44689.304442439141</v>
      </c>
      <c r="G64" s="247">
        <v>52398.862811163679</v>
      </c>
      <c r="H64" s="247">
        <v>62441.822623207576</v>
      </c>
      <c r="I64" s="247">
        <v>65801.920701586161</v>
      </c>
      <c r="J64" s="247">
        <v>65596.581374574365</v>
      </c>
      <c r="K64" s="247">
        <v>65073.899451270969</v>
      </c>
      <c r="L64" s="247">
        <v>51838.846464767485</v>
      </c>
      <c r="M64" s="247">
        <v>42635.911172318578</v>
      </c>
      <c r="N64" s="247">
        <v>45267.988000381971</v>
      </c>
      <c r="O64" s="248">
        <v>649674.9634545556</v>
      </c>
    </row>
    <row r="65" spans="1:15" x14ac:dyDescent="0.2">
      <c r="A65" s="237"/>
      <c r="B65" s="107" t="s">
        <v>49</v>
      </c>
      <c r="C65" s="108">
        <v>2412543.44</v>
      </c>
      <c r="D65" s="96">
        <v>2730327.04</v>
      </c>
      <c r="E65" s="96">
        <v>2036426.96</v>
      </c>
      <c r="F65" s="96">
        <v>2084312.16</v>
      </c>
      <c r="G65" s="96">
        <v>2443886.48</v>
      </c>
      <c r="H65" s="96">
        <v>2912290.8</v>
      </c>
      <c r="I65" s="96">
        <v>3069006</v>
      </c>
      <c r="J65" s="96">
        <v>3059428.96</v>
      </c>
      <c r="K65" s="96">
        <v>3035051.04</v>
      </c>
      <c r="L65" s="96">
        <v>2417767.2799999998</v>
      </c>
      <c r="M65" s="96">
        <v>1988541.76</v>
      </c>
      <c r="N65" s="96">
        <v>2111302</v>
      </c>
      <c r="O65" s="109">
        <v>30300883.920000002</v>
      </c>
    </row>
    <row r="66" spans="1:15" x14ac:dyDescent="0.2">
      <c r="A66" s="237"/>
      <c r="B66" s="107" t="s">
        <v>87</v>
      </c>
      <c r="C66" s="108">
        <v>0</v>
      </c>
      <c r="D66" s="96">
        <v>0</v>
      </c>
      <c r="E66" s="96">
        <v>0</v>
      </c>
      <c r="F66" s="96">
        <v>0</v>
      </c>
      <c r="G66" s="96">
        <v>0</v>
      </c>
      <c r="H66" s="96">
        <v>0</v>
      </c>
      <c r="I66" s="96">
        <v>0</v>
      </c>
      <c r="J66" s="96">
        <v>0</v>
      </c>
      <c r="K66" s="96">
        <v>0</v>
      </c>
      <c r="L66" s="96">
        <v>0</v>
      </c>
      <c r="M66" s="96">
        <v>0</v>
      </c>
      <c r="N66" s="96">
        <v>0</v>
      </c>
      <c r="O66" s="109">
        <v>0</v>
      </c>
    </row>
    <row r="67" spans="1:15" x14ac:dyDescent="0.2">
      <c r="A67" s="237"/>
      <c r="B67" s="107" t="s">
        <v>89</v>
      </c>
      <c r="C67" s="108">
        <v>0</v>
      </c>
      <c r="D67" s="96">
        <v>0</v>
      </c>
      <c r="E67" s="96">
        <v>0</v>
      </c>
      <c r="F67" s="96">
        <v>0</v>
      </c>
      <c r="G67" s="96">
        <v>0</v>
      </c>
      <c r="H67" s="96">
        <v>0</v>
      </c>
      <c r="I67" s="96">
        <v>0</v>
      </c>
      <c r="J67" s="96">
        <v>0</v>
      </c>
      <c r="K67" s="96">
        <v>0</v>
      </c>
      <c r="L67" s="96">
        <v>0</v>
      </c>
      <c r="M67" s="96">
        <v>0</v>
      </c>
      <c r="N67" s="96">
        <v>0</v>
      </c>
      <c r="O67" s="109">
        <v>0</v>
      </c>
    </row>
    <row r="68" spans="1:15" x14ac:dyDescent="0.2">
      <c r="A68" s="97" t="s">
        <v>9</v>
      </c>
      <c r="B68" s="97" t="s">
        <v>70</v>
      </c>
      <c r="C68" s="104">
        <v>38215.39</v>
      </c>
      <c r="D68" s="105">
        <v>42659.040000000001</v>
      </c>
      <c r="E68" s="105">
        <v>31105.55</v>
      </c>
      <c r="F68" s="105">
        <v>25773.170000000002</v>
      </c>
      <c r="G68" s="105">
        <v>30216.82</v>
      </c>
      <c r="H68" s="105">
        <v>39992.85</v>
      </c>
      <c r="I68" s="105">
        <v>42659.040000000001</v>
      </c>
      <c r="J68" s="105">
        <v>40881.58</v>
      </c>
      <c r="K68" s="105">
        <v>40881.58</v>
      </c>
      <c r="L68" s="105">
        <v>36437.93</v>
      </c>
      <c r="M68" s="105">
        <v>35549.199999999997</v>
      </c>
      <c r="N68" s="105">
        <v>34660.47</v>
      </c>
      <c r="O68" s="106">
        <v>439032.62</v>
      </c>
    </row>
    <row r="69" spans="1:15" x14ac:dyDescent="0.2">
      <c r="A69" s="237"/>
      <c r="B69" s="107" t="s">
        <v>25</v>
      </c>
      <c r="C69" s="246">
        <v>777.87000000000262</v>
      </c>
      <c r="D69" s="247">
        <v>868.31999999999971</v>
      </c>
      <c r="E69" s="247">
        <v>633.15000000000146</v>
      </c>
      <c r="F69" s="247">
        <v>524.61000000000058</v>
      </c>
      <c r="G69" s="247">
        <v>615.06000000000131</v>
      </c>
      <c r="H69" s="247">
        <v>814.04999999999563</v>
      </c>
      <c r="I69" s="247">
        <v>868.31999999999971</v>
      </c>
      <c r="J69" s="247">
        <v>832.13999999999942</v>
      </c>
      <c r="K69" s="247">
        <v>832.13999999999942</v>
      </c>
      <c r="L69" s="247">
        <v>741.69000000000233</v>
      </c>
      <c r="M69" s="247">
        <v>723.59999999999854</v>
      </c>
      <c r="N69" s="247">
        <v>705.51000000000204</v>
      </c>
      <c r="O69" s="248">
        <v>8936.4600000000028</v>
      </c>
    </row>
    <row r="70" spans="1:15" x14ac:dyDescent="0.2">
      <c r="A70" s="237"/>
      <c r="B70" s="107" t="s">
        <v>26</v>
      </c>
      <c r="C70" s="246">
        <v>24.820096501618469</v>
      </c>
      <c r="D70" s="247">
        <v>27.706154234364803</v>
      </c>
      <c r="E70" s="247">
        <v>20.202404129224337</v>
      </c>
      <c r="F70" s="247">
        <v>16.739134849928735</v>
      </c>
      <c r="G70" s="247">
        <v>19.625192582675069</v>
      </c>
      <c r="H70" s="247">
        <v>25.974519594717005</v>
      </c>
      <c r="I70" s="247">
        <v>27.706154234364803</v>
      </c>
      <c r="J70" s="247">
        <v>26.55173114126627</v>
      </c>
      <c r="K70" s="247">
        <v>26.55173114126627</v>
      </c>
      <c r="L70" s="247">
        <v>23.665673408519936</v>
      </c>
      <c r="M70" s="247">
        <v>23.088461861970668</v>
      </c>
      <c r="N70" s="247">
        <v>22.511250315421403</v>
      </c>
      <c r="O70" s="248">
        <v>285.14250399533773</v>
      </c>
    </row>
    <row r="71" spans="1:15" x14ac:dyDescent="0.2">
      <c r="A71" s="237"/>
      <c r="B71" s="107" t="s">
        <v>27</v>
      </c>
      <c r="C71" s="246">
        <v>802.69009650162104</v>
      </c>
      <c r="D71" s="247">
        <v>896.02615423436453</v>
      </c>
      <c r="E71" s="247">
        <v>653.35240412922576</v>
      </c>
      <c r="F71" s="247">
        <v>541.34913484992933</v>
      </c>
      <c r="G71" s="247">
        <v>634.68519258267634</v>
      </c>
      <c r="H71" s="247">
        <v>840.02451959471261</v>
      </c>
      <c r="I71" s="247">
        <v>896.02615423436453</v>
      </c>
      <c r="J71" s="247">
        <v>858.69173114126568</v>
      </c>
      <c r="K71" s="247">
        <v>858.69173114126568</v>
      </c>
      <c r="L71" s="247">
        <v>765.35567340852231</v>
      </c>
      <c r="M71" s="247">
        <v>746.68846186196924</v>
      </c>
      <c r="N71" s="247">
        <v>728.02125031542346</v>
      </c>
      <c r="O71" s="248">
        <v>9221.6025039953383</v>
      </c>
    </row>
    <row r="72" spans="1:15" x14ac:dyDescent="0.2">
      <c r="A72" s="237"/>
      <c r="B72" s="107" t="s">
        <v>49</v>
      </c>
      <c r="C72" s="108">
        <v>37437.519999999997</v>
      </c>
      <c r="D72" s="96">
        <v>41790.720000000001</v>
      </c>
      <c r="E72" s="96">
        <v>30472.399999999998</v>
      </c>
      <c r="F72" s="96">
        <v>25248.560000000001</v>
      </c>
      <c r="G72" s="96">
        <v>29601.759999999998</v>
      </c>
      <c r="H72" s="96">
        <v>39178.800000000003</v>
      </c>
      <c r="I72" s="96">
        <v>41790.720000000001</v>
      </c>
      <c r="J72" s="96">
        <v>40049.440000000002</v>
      </c>
      <c r="K72" s="96">
        <v>40049.440000000002</v>
      </c>
      <c r="L72" s="96">
        <v>35696.239999999998</v>
      </c>
      <c r="M72" s="96">
        <v>34825.599999999999</v>
      </c>
      <c r="N72" s="96">
        <v>33954.959999999999</v>
      </c>
      <c r="O72" s="109">
        <v>430096.16000000003</v>
      </c>
    </row>
    <row r="73" spans="1:15" x14ac:dyDescent="0.2">
      <c r="A73" s="237"/>
      <c r="B73" s="107" t="s">
        <v>87</v>
      </c>
      <c r="C73" s="108">
        <v>0</v>
      </c>
      <c r="D73" s="96">
        <v>0</v>
      </c>
      <c r="E73" s="96">
        <v>0</v>
      </c>
      <c r="F73" s="96">
        <v>0</v>
      </c>
      <c r="G73" s="96">
        <v>0</v>
      </c>
      <c r="H73" s="96">
        <v>0</v>
      </c>
      <c r="I73" s="96">
        <v>0</v>
      </c>
      <c r="J73" s="96">
        <v>0</v>
      </c>
      <c r="K73" s="96">
        <v>0</v>
      </c>
      <c r="L73" s="96">
        <v>0</v>
      </c>
      <c r="M73" s="96">
        <v>0</v>
      </c>
      <c r="N73" s="96">
        <v>0</v>
      </c>
      <c r="O73" s="109">
        <v>0</v>
      </c>
    </row>
    <row r="74" spans="1:15" x14ac:dyDescent="0.2">
      <c r="A74" s="237"/>
      <c r="B74" s="107" t="s">
        <v>89</v>
      </c>
      <c r="C74" s="108">
        <v>0</v>
      </c>
      <c r="D74" s="96">
        <v>0</v>
      </c>
      <c r="E74" s="96">
        <v>0</v>
      </c>
      <c r="F74" s="96">
        <v>0</v>
      </c>
      <c r="G74" s="96">
        <v>0</v>
      </c>
      <c r="H74" s="96">
        <v>0</v>
      </c>
      <c r="I74" s="96">
        <v>0</v>
      </c>
      <c r="J74" s="96">
        <v>0</v>
      </c>
      <c r="K74" s="96">
        <v>0</v>
      </c>
      <c r="L74" s="96">
        <v>0</v>
      </c>
      <c r="M74" s="96">
        <v>0</v>
      </c>
      <c r="N74" s="96">
        <v>0</v>
      </c>
      <c r="O74" s="109">
        <v>0</v>
      </c>
    </row>
    <row r="75" spans="1:15" x14ac:dyDescent="0.2">
      <c r="A75" s="97" t="s">
        <v>54</v>
      </c>
      <c r="B75" s="97" t="s">
        <v>70</v>
      </c>
      <c r="C75" s="104">
        <v>92427.92</v>
      </c>
      <c r="D75" s="105">
        <v>118201.09</v>
      </c>
      <c r="E75" s="105">
        <v>77319.509999999995</v>
      </c>
      <c r="F75" s="105">
        <v>68432.210000000006</v>
      </c>
      <c r="G75" s="105">
        <v>92427.92</v>
      </c>
      <c r="H75" s="105">
        <v>127977.12</v>
      </c>
      <c r="I75" s="105">
        <v>143085.53</v>
      </c>
      <c r="J75" s="105">
        <v>144862.99</v>
      </c>
      <c r="K75" s="105">
        <v>135975.69</v>
      </c>
      <c r="L75" s="105">
        <v>103981.41</v>
      </c>
      <c r="M75" s="105">
        <v>80874.430000000008</v>
      </c>
      <c r="N75" s="105">
        <v>83540.62</v>
      </c>
      <c r="O75" s="106">
        <v>1269106.44</v>
      </c>
    </row>
    <row r="76" spans="1:15" x14ac:dyDescent="0.2">
      <c r="A76" s="237"/>
      <c r="B76" s="107" t="s">
        <v>25</v>
      </c>
      <c r="C76" s="108">
        <v>1881.3600000000006</v>
      </c>
      <c r="D76" s="96">
        <v>2405.9700000000012</v>
      </c>
      <c r="E76" s="96">
        <v>1573.8300000000017</v>
      </c>
      <c r="F76" s="96">
        <v>1392.9300000000076</v>
      </c>
      <c r="G76" s="96">
        <v>1881.3600000000006</v>
      </c>
      <c r="H76" s="96">
        <v>2604.9599999999919</v>
      </c>
      <c r="I76" s="96">
        <v>2912.4899999999907</v>
      </c>
      <c r="J76" s="96">
        <v>2948.6699999999837</v>
      </c>
      <c r="K76" s="96">
        <v>2767.7700000000186</v>
      </c>
      <c r="L76" s="96">
        <v>2116.5299999999988</v>
      </c>
      <c r="M76" s="96">
        <v>1646.1900000000023</v>
      </c>
      <c r="N76" s="96">
        <v>1700.4599999999919</v>
      </c>
      <c r="O76" s="109">
        <v>25832.51999999999</v>
      </c>
    </row>
    <row r="77" spans="1:15" x14ac:dyDescent="0.2">
      <c r="A77" s="237"/>
      <c r="B77" s="107" t="s">
        <v>26</v>
      </c>
      <c r="C77" s="108">
        <v>60.030000841123744</v>
      </c>
      <c r="D77" s="96">
        <v>76.769135691052469</v>
      </c>
      <c r="E77" s="96">
        <v>50.21740454978621</v>
      </c>
      <c r="F77" s="96">
        <v>44.445289084293542</v>
      </c>
      <c r="G77" s="96">
        <v>60.030000841123744</v>
      </c>
      <c r="H77" s="96">
        <v>83.118462703094409</v>
      </c>
      <c r="I77" s="96">
        <v>92.931058994431936</v>
      </c>
      <c r="J77" s="96">
        <v>94.08548208753048</v>
      </c>
      <c r="K77" s="96">
        <v>88.313366622037819</v>
      </c>
      <c r="L77" s="96">
        <v>67.533750946264206</v>
      </c>
      <c r="M77" s="96">
        <v>52.526250735983275</v>
      </c>
      <c r="N77" s="96">
        <v>54.257885375631076</v>
      </c>
      <c r="O77" s="109">
        <v>824.25808847235294</v>
      </c>
    </row>
    <row r="78" spans="1:15" x14ac:dyDescent="0.2">
      <c r="A78" s="237"/>
      <c r="B78" s="107" t="s">
        <v>27</v>
      </c>
      <c r="C78" s="108">
        <v>1941.3900008411242</v>
      </c>
      <c r="D78" s="96">
        <v>2482.7391356910534</v>
      </c>
      <c r="E78" s="96">
        <v>1624.0474045497879</v>
      </c>
      <c r="F78" s="96">
        <v>1437.3752890843011</v>
      </c>
      <c r="G78" s="96">
        <v>1941.3900008411242</v>
      </c>
      <c r="H78" s="96">
        <v>2688.0784627030862</v>
      </c>
      <c r="I78" s="96">
        <v>3005.4210589944228</v>
      </c>
      <c r="J78" s="96">
        <v>3042.7554820875143</v>
      </c>
      <c r="K78" s="96">
        <v>2856.0833666220565</v>
      </c>
      <c r="L78" s="96">
        <v>2184.0637509462631</v>
      </c>
      <c r="M78" s="96">
        <v>1698.7162507359856</v>
      </c>
      <c r="N78" s="96">
        <v>1754.7178853756229</v>
      </c>
      <c r="O78" s="109">
        <v>26656.778088472347</v>
      </c>
    </row>
    <row r="79" spans="1:15" x14ac:dyDescent="0.2">
      <c r="A79" s="237"/>
      <c r="B79" s="107" t="s">
        <v>49</v>
      </c>
      <c r="C79" s="108">
        <v>90546.559999999998</v>
      </c>
      <c r="D79" s="96">
        <v>115795.12</v>
      </c>
      <c r="E79" s="96">
        <v>75745.679999999993</v>
      </c>
      <c r="F79" s="96">
        <v>67039.28</v>
      </c>
      <c r="G79" s="96">
        <v>90546.559999999998</v>
      </c>
      <c r="H79" s="96">
        <v>125372.16</v>
      </c>
      <c r="I79" s="96">
        <v>140173.04</v>
      </c>
      <c r="J79" s="96">
        <v>141914.32</v>
      </c>
      <c r="K79" s="96">
        <v>133207.91999999998</v>
      </c>
      <c r="L79" s="96">
        <v>101864.88</v>
      </c>
      <c r="M79" s="96">
        <v>79228.240000000005</v>
      </c>
      <c r="N79" s="96">
        <v>81840.160000000003</v>
      </c>
      <c r="O79" s="109">
        <v>1243273.92</v>
      </c>
    </row>
    <row r="80" spans="1:15" x14ac:dyDescent="0.2">
      <c r="A80" s="237"/>
      <c r="B80" s="107" t="s">
        <v>87</v>
      </c>
      <c r="C80" s="108">
        <v>0</v>
      </c>
      <c r="D80" s="96">
        <v>0</v>
      </c>
      <c r="E80" s="96">
        <v>0</v>
      </c>
      <c r="F80" s="96">
        <v>0</v>
      </c>
      <c r="G80" s="96">
        <v>0</v>
      </c>
      <c r="H80" s="96">
        <v>0</v>
      </c>
      <c r="I80" s="96">
        <v>0</v>
      </c>
      <c r="J80" s="96">
        <v>0</v>
      </c>
      <c r="K80" s="96">
        <v>0</v>
      </c>
      <c r="L80" s="96">
        <v>0</v>
      </c>
      <c r="M80" s="96">
        <v>0</v>
      </c>
      <c r="N80" s="96">
        <v>0</v>
      </c>
      <c r="O80" s="109">
        <v>0</v>
      </c>
    </row>
    <row r="81" spans="1:15" x14ac:dyDescent="0.2">
      <c r="A81" s="237"/>
      <c r="B81" s="107" t="s">
        <v>89</v>
      </c>
      <c r="C81" s="108">
        <v>0</v>
      </c>
      <c r="D81" s="96">
        <v>0</v>
      </c>
      <c r="E81" s="96">
        <v>0</v>
      </c>
      <c r="F81" s="96">
        <v>0</v>
      </c>
      <c r="G81" s="96">
        <v>0</v>
      </c>
      <c r="H81" s="96">
        <v>0</v>
      </c>
      <c r="I81" s="96">
        <v>0</v>
      </c>
      <c r="J81" s="96">
        <v>0</v>
      </c>
      <c r="K81" s="96">
        <v>0</v>
      </c>
      <c r="L81" s="96">
        <v>0</v>
      </c>
      <c r="M81" s="96">
        <v>0</v>
      </c>
      <c r="N81" s="96">
        <v>0</v>
      </c>
      <c r="O81" s="109">
        <v>0</v>
      </c>
    </row>
    <row r="82" spans="1:15" x14ac:dyDescent="0.2">
      <c r="A82" s="97" t="s">
        <v>55</v>
      </c>
      <c r="B82" s="97" t="s">
        <v>70</v>
      </c>
      <c r="C82" s="104">
        <v>9776.0300000000007</v>
      </c>
      <c r="D82" s="105">
        <v>7109.84</v>
      </c>
      <c r="E82" s="105">
        <v>6221.1100000000006</v>
      </c>
      <c r="F82" s="105">
        <v>10664.76</v>
      </c>
      <c r="G82" s="105">
        <v>9776.0300000000007</v>
      </c>
      <c r="H82" s="105">
        <v>11553.49</v>
      </c>
      <c r="I82" s="105">
        <v>11553.49</v>
      </c>
      <c r="J82" s="105">
        <v>10664.76</v>
      </c>
      <c r="K82" s="105">
        <v>11553.49</v>
      </c>
      <c r="L82" s="105">
        <v>7109.84</v>
      </c>
      <c r="M82" s="105">
        <v>7109.84</v>
      </c>
      <c r="N82" s="105">
        <v>9776.0300000000007</v>
      </c>
      <c r="O82" s="106">
        <v>112868.70999999999</v>
      </c>
    </row>
    <row r="83" spans="1:15" x14ac:dyDescent="0.2">
      <c r="A83" s="237"/>
      <c r="B83" s="107" t="s">
        <v>25</v>
      </c>
      <c r="C83" s="108">
        <v>198.9900000000016</v>
      </c>
      <c r="D83" s="96">
        <v>144.72000000000025</v>
      </c>
      <c r="E83" s="96">
        <v>126.63000000000102</v>
      </c>
      <c r="F83" s="96">
        <v>217.07999999999993</v>
      </c>
      <c r="G83" s="96">
        <v>198.9900000000016</v>
      </c>
      <c r="H83" s="96">
        <v>235.17000000000007</v>
      </c>
      <c r="I83" s="96">
        <v>235.17000000000007</v>
      </c>
      <c r="J83" s="96">
        <v>217.07999999999993</v>
      </c>
      <c r="K83" s="96">
        <v>235.17000000000007</v>
      </c>
      <c r="L83" s="96">
        <v>144.72000000000025</v>
      </c>
      <c r="M83" s="96">
        <v>144.72000000000025</v>
      </c>
      <c r="N83" s="96">
        <v>198.9900000000016</v>
      </c>
      <c r="O83" s="109">
        <v>2297.4300000000067</v>
      </c>
    </row>
    <row r="84" spans="1:15" x14ac:dyDescent="0.2">
      <c r="A84" s="237"/>
      <c r="B84" s="107" t="s">
        <v>26</v>
      </c>
      <c r="C84" s="108">
        <v>6.3493270120419343</v>
      </c>
      <c r="D84" s="96">
        <v>4.6176923723941341</v>
      </c>
      <c r="E84" s="96">
        <v>4.0404808258448677</v>
      </c>
      <c r="F84" s="96">
        <v>6.9265385585912007</v>
      </c>
      <c r="G84" s="96">
        <v>6.3493270120419343</v>
      </c>
      <c r="H84" s="96">
        <v>7.503750105140468</v>
      </c>
      <c r="I84" s="96">
        <v>7.503750105140468</v>
      </c>
      <c r="J84" s="96">
        <v>6.9265385585912007</v>
      </c>
      <c r="K84" s="96">
        <v>7.503750105140468</v>
      </c>
      <c r="L84" s="96">
        <v>4.6176923723941341</v>
      </c>
      <c r="M84" s="96">
        <v>4.6176923723941341</v>
      </c>
      <c r="N84" s="96">
        <v>6.3493270120419343</v>
      </c>
      <c r="O84" s="109">
        <v>73.305866411756881</v>
      </c>
    </row>
    <row r="85" spans="1:15" x14ac:dyDescent="0.2">
      <c r="A85" s="237"/>
      <c r="B85" s="107" t="s">
        <v>27</v>
      </c>
      <c r="C85" s="108">
        <v>205.33932701204353</v>
      </c>
      <c r="D85" s="96">
        <v>149.3376923723944</v>
      </c>
      <c r="E85" s="96">
        <v>130.67048082584589</v>
      </c>
      <c r="F85" s="96">
        <v>224.00653855859113</v>
      </c>
      <c r="G85" s="96">
        <v>205.33932701204353</v>
      </c>
      <c r="H85" s="96">
        <v>242.67375010514053</v>
      </c>
      <c r="I85" s="96">
        <v>242.67375010514053</v>
      </c>
      <c r="J85" s="96">
        <v>224.00653855859113</v>
      </c>
      <c r="K85" s="96">
        <v>242.67375010514053</v>
      </c>
      <c r="L85" s="96">
        <v>149.3376923723944</v>
      </c>
      <c r="M85" s="96">
        <v>149.3376923723944</v>
      </c>
      <c r="N85" s="96">
        <v>205.33932701204353</v>
      </c>
      <c r="O85" s="109">
        <v>2370.7358664117637</v>
      </c>
    </row>
    <row r="86" spans="1:15" x14ac:dyDescent="0.2">
      <c r="A86" s="237"/>
      <c r="B86" s="107" t="s">
        <v>49</v>
      </c>
      <c r="C86" s="108">
        <v>9577.0399999999991</v>
      </c>
      <c r="D86" s="96">
        <v>6965.12</v>
      </c>
      <c r="E86" s="96">
        <v>6094.48</v>
      </c>
      <c r="F86" s="96">
        <v>10447.68</v>
      </c>
      <c r="G86" s="96">
        <v>9577.0399999999991</v>
      </c>
      <c r="H86" s="96">
        <v>11318.32</v>
      </c>
      <c r="I86" s="96">
        <v>11318.32</v>
      </c>
      <c r="J86" s="96">
        <v>10447.68</v>
      </c>
      <c r="K86" s="96">
        <v>11318.32</v>
      </c>
      <c r="L86" s="96">
        <v>6965.12</v>
      </c>
      <c r="M86" s="96">
        <v>6965.12</v>
      </c>
      <c r="N86" s="96">
        <v>9577.0399999999991</v>
      </c>
      <c r="O86" s="109">
        <v>110571.27999999998</v>
      </c>
    </row>
    <row r="87" spans="1:15" x14ac:dyDescent="0.2">
      <c r="A87" s="237"/>
      <c r="B87" s="107" t="s">
        <v>87</v>
      </c>
      <c r="C87" s="108">
        <v>0</v>
      </c>
      <c r="D87" s="96">
        <v>0</v>
      </c>
      <c r="E87" s="96">
        <v>0</v>
      </c>
      <c r="F87" s="96">
        <v>0</v>
      </c>
      <c r="G87" s="96">
        <v>0</v>
      </c>
      <c r="H87" s="96">
        <v>0</v>
      </c>
      <c r="I87" s="96">
        <v>0</v>
      </c>
      <c r="J87" s="96">
        <v>0</v>
      </c>
      <c r="K87" s="96">
        <v>0</v>
      </c>
      <c r="L87" s="96">
        <v>0</v>
      </c>
      <c r="M87" s="96">
        <v>0</v>
      </c>
      <c r="N87" s="96">
        <v>0</v>
      </c>
      <c r="O87" s="109">
        <v>0</v>
      </c>
    </row>
    <row r="88" spans="1:15" x14ac:dyDescent="0.2">
      <c r="A88" s="237"/>
      <c r="B88" s="107" t="s">
        <v>89</v>
      </c>
      <c r="C88" s="108">
        <v>0</v>
      </c>
      <c r="D88" s="96">
        <v>0</v>
      </c>
      <c r="E88" s="96">
        <v>0</v>
      </c>
      <c r="F88" s="96">
        <v>0</v>
      </c>
      <c r="G88" s="96">
        <v>0</v>
      </c>
      <c r="H88" s="96">
        <v>0</v>
      </c>
      <c r="I88" s="96">
        <v>0</v>
      </c>
      <c r="J88" s="96">
        <v>0</v>
      </c>
      <c r="K88" s="96">
        <v>0</v>
      </c>
      <c r="L88" s="96">
        <v>0</v>
      </c>
      <c r="M88" s="96">
        <v>0</v>
      </c>
      <c r="N88" s="96">
        <v>0</v>
      </c>
      <c r="O88" s="109">
        <v>0</v>
      </c>
    </row>
    <row r="89" spans="1:15" x14ac:dyDescent="0.2">
      <c r="A89" s="97" t="s">
        <v>56</v>
      </c>
      <c r="B89" s="97" t="s">
        <v>70</v>
      </c>
      <c r="C89" s="104">
        <v>17774.599999999999</v>
      </c>
      <c r="D89" s="105">
        <v>20440.79</v>
      </c>
      <c r="E89" s="105">
        <v>14219.68</v>
      </c>
      <c r="F89" s="105">
        <v>17774.599999999999</v>
      </c>
      <c r="G89" s="105">
        <v>23995.71</v>
      </c>
      <c r="H89" s="105">
        <v>28439.360000000001</v>
      </c>
      <c r="I89" s="105">
        <v>32883.01</v>
      </c>
      <c r="J89" s="105">
        <v>29328.09</v>
      </c>
      <c r="K89" s="105">
        <v>32883.01</v>
      </c>
      <c r="L89" s="105">
        <v>23995.71</v>
      </c>
      <c r="M89" s="105">
        <v>14219.68</v>
      </c>
      <c r="N89" s="105">
        <v>16885.87</v>
      </c>
      <c r="O89" s="106">
        <v>272840.11</v>
      </c>
    </row>
    <row r="90" spans="1:15" x14ac:dyDescent="0.2">
      <c r="A90" s="237"/>
      <c r="B90" s="107" t="s">
        <v>25</v>
      </c>
      <c r="C90" s="108">
        <v>361.79999999999927</v>
      </c>
      <c r="D90" s="96">
        <v>416.06999999999971</v>
      </c>
      <c r="E90" s="96">
        <v>289.44000000000051</v>
      </c>
      <c r="F90" s="96">
        <v>361.79999999999927</v>
      </c>
      <c r="G90" s="96">
        <v>488.43000000000029</v>
      </c>
      <c r="H90" s="96">
        <v>578.88000000000102</v>
      </c>
      <c r="I90" s="96">
        <v>669.33000000000175</v>
      </c>
      <c r="J90" s="96">
        <v>596.97000000000116</v>
      </c>
      <c r="K90" s="96">
        <v>669.33000000000175</v>
      </c>
      <c r="L90" s="96">
        <v>488.43000000000029</v>
      </c>
      <c r="M90" s="96">
        <v>289.44000000000051</v>
      </c>
      <c r="N90" s="96">
        <v>343.70999999999913</v>
      </c>
      <c r="O90" s="109">
        <v>5553.6300000000047</v>
      </c>
    </row>
    <row r="91" spans="1:15" x14ac:dyDescent="0.2">
      <c r="A91" s="237"/>
      <c r="B91" s="107" t="s">
        <v>26</v>
      </c>
      <c r="C91" s="108">
        <v>11.544230930985334</v>
      </c>
      <c r="D91" s="96">
        <v>13.275865570633135</v>
      </c>
      <c r="E91" s="96">
        <v>9.2353847447882682</v>
      </c>
      <c r="F91" s="96">
        <v>11.544230930985334</v>
      </c>
      <c r="G91" s="96">
        <v>15.584711756830202</v>
      </c>
      <c r="H91" s="96">
        <v>18.470769489576536</v>
      </c>
      <c r="I91" s="96">
        <v>21.35682722232287</v>
      </c>
      <c r="J91" s="96">
        <v>19.047981036125801</v>
      </c>
      <c r="K91" s="96">
        <v>21.35682722232287</v>
      </c>
      <c r="L91" s="96">
        <v>15.584711756830202</v>
      </c>
      <c r="M91" s="96">
        <v>9.2353847447882682</v>
      </c>
      <c r="N91" s="96">
        <v>10.967019384436067</v>
      </c>
      <c r="O91" s="109">
        <v>177.20394479062489</v>
      </c>
    </row>
    <row r="92" spans="1:15" x14ac:dyDescent="0.2">
      <c r="A92" s="237"/>
      <c r="B92" s="107" t="s">
        <v>27</v>
      </c>
      <c r="C92" s="108">
        <v>373.34423093098462</v>
      </c>
      <c r="D92" s="96">
        <v>429.34586557063284</v>
      </c>
      <c r="E92" s="96">
        <v>298.6753847447888</v>
      </c>
      <c r="F92" s="96">
        <v>373.34423093098462</v>
      </c>
      <c r="G92" s="96">
        <v>504.01471175683048</v>
      </c>
      <c r="H92" s="96">
        <v>597.3507694895776</v>
      </c>
      <c r="I92" s="96">
        <v>690.68682722232461</v>
      </c>
      <c r="J92" s="96">
        <v>616.01798103612691</v>
      </c>
      <c r="K92" s="96">
        <v>690.68682722232461</v>
      </c>
      <c r="L92" s="96">
        <v>504.01471175683048</v>
      </c>
      <c r="M92" s="96">
        <v>298.6753847447888</v>
      </c>
      <c r="N92" s="96">
        <v>354.6770193844352</v>
      </c>
      <c r="O92" s="109">
        <v>5730.8339447906292</v>
      </c>
    </row>
    <row r="93" spans="1:15" x14ac:dyDescent="0.2">
      <c r="A93" s="237"/>
      <c r="B93" s="107" t="s">
        <v>49</v>
      </c>
      <c r="C93" s="108">
        <v>17412.8</v>
      </c>
      <c r="D93" s="96">
        <v>20024.72</v>
      </c>
      <c r="E93" s="96">
        <v>13930.24</v>
      </c>
      <c r="F93" s="96">
        <v>17412.8</v>
      </c>
      <c r="G93" s="96">
        <v>23507.279999999999</v>
      </c>
      <c r="H93" s="96">
        <v>27860.48</v>
      </c>
      <c r="I93" s="96">
        <v>32213.68</v>
      </c>
      <c r="J93" s="96">
        <v>28731.119999999999</v>
      </c>
      <c r="K93" s="96">
        <v>32213.68</v>
      </c>
      <c r="L93" s="96">
        <v>23507.279999999999</v>
      </c>
      <c r="M93" s="96">
        <v>13930.24</v>
      </c>
      <c r="N93" s="96">
        <v>16542.16</v>
      </c>
      <c r="O93" s="109">
        <v>267286.48</v>
      </c>
    </row>
    <row r="94" spans="1:15" x14ac:dyDescent="0.2">
      <c r="A94" s="237"/>
      <c r="B94" s="107" t="s">
        <v>87</v>
      </c>
      <c r="C94" s="108">
        <v>0</v>
      </c>
      <c r="D94" s="96">
        <v>0</v>
      </c>
      <c r="E94" s="96">
        <v>0</v>
      </c>
      <c r="F94" s="96">
        <v>0</v>
      </c>
      <c r="G94" s="96">
        <v>0</v>
      </c>
      <c r="H94" s="96">
        <v>0</v>
      </c>
      <c r="I94" s="96">
        <v>0</v>
      </c>
      <c r="J94" s="96">
        <v>0</v>
      </c>
      <c r="K94" s="96">
        <v>0</v>
      </c>
      <c r="L94" s="96">
        <v>0</v>
      </c>
      <c r="M94" s="96">
        <v>0</v>
      </c>
      <c r="N94" s="96">
        <v>0</v>
      </c>
      <c r="O94" s="109">
        <v>0</v>
      </c>
    </row>
    <row r="95" spans="1:15" x14ac:dyDescent="0.2">
      <c r="A95" s="237"/>
      <c r="B95" s="107" t="s">
        <v>89</v>
      </c>
      <c r="C95" s="108">
        <v>0</v>
      </c>
      <c r="D95" s="96">
        <v>0</v>
      </c>
      <c r="E95" s="96">
        <v>0</v>
      </c>
      <c r="F95" s="96">
        <v>0</v>
      </c>
      <c r="G95" s="96">
        <v>0</v>
      </c>
      <c r="H95" s="96">
        <v>0</v>
      </c>
      <c r="I95" s="96">
        <v>0</v>
      </c>
      <c r="J95" s="96">
        <v>0</v>
      </c>
      <c r="K95" s="96">
        <v>0</v>
      </c>
      <c r="L95" s="96">
        <v>0</v>
      </c>
      <c r="M95" s="96">
        <v>0</v>
      </c>
      <c r="N95" s="96">
        <v>0</v>
      </c>
      <c r="O95" s="109">
        <v>0</v>
      </c>
    </row>
    <row r="96" spans="1:15" x14ac:dyDescent="0.2">
      <c r="A96" s="97" t="s">
        <v>57</v>
      </c>
      <c r="B96" s="97" t="s">
        <v>70</v>
      </c>
      <c r="C96" s="104">
        <v>31105.55</v>
      </c>
      <c r="D96" s="105">
        <v>29328.09</v>
      </c>
      <c r="E96" s="105">
        <v>26661.9</v>
      </c>
      <c r="F96" s="105">
        <v>28439.360000000001</v>
      </c>
      <c r="G96" s="105">
        <v>35549.199999999997</v>
      </c>
      <c r="H96" s="105">
        <v>40881.58</v>
      </c>
      <c r="I96" s="105">
        <v>42659.040000000001</v>
      </c>
      <c r="J96" s="105">
        <v>44436.5</v>
      </c>
      <c r="K96" s="105">
        <v>46213.96</v>
      </c>
      <c r="L96" s="105">
        <v>35549.199999999997</v>
      </c>
      <c r="M96" s="105">
        <v>28439.360000000001</v>
      </c>
      <c r="N96" s="105">
        <v>31105.55</v>
      </c>
      <c r="O96" s="106">
        <v>420369.29</v>
      </c>
    </row>
    <row r="97" spans="1:15" x14ac:dyDescent="0.2">
      <c r="A97" s="237"/>
      <c r="B97" s="107" t="s">
        <v>25</v>
      </c>
      <c r="C97" s="108">
        <v>633.15000000000146</v>
      </c>
      <c r="D97" s="96">
        <v>596.97000000000116</v>
      </c>
      <c r="E97" s="96">
        <v>542.70000000000073</v>
      </c>
      <c r="F97" s="96">
        <v>578.88000000000102</v>
      </c>
      <c r="G97" s="96">
        <v>723.59999999999854</v>
      </c>
      <c r="H97" s="96">
        <v>832.13999999999942</v>
      </c>
      <c r="I97" s="96">
        <v>868.31999999999971</v>
      </c>
      <c r="J97" s="96">
        <v>904.5</v>
      </c>
      <c r="K97" s="96">
        <v>940.68000000000029</v>
      </c>
      <c r="L97" s="96">
        <v>723.59999999999854</v>
      </c>
      <c r="M97" s="96">
        <v>578.88000000000102</v>
      </c>
      <c r="N97" s="96">
        <v>633.15000000000146</v>
      </c>
      <c r="O97" s="109">
        <v>8556.5700000000033</v>
      </c>
    </row>
    <row r="98" spans="1:15" x14ac:dyDescent="0.2">
      <c r="A98" s="237"/>
      <c r="B98" s="107" t="s">
        <v>26</v>
      </c>
      <c r="C98" s="108">
        <v>20.202404129224337</v>
      </c>
      <c r="D98" s="96">
        <v>19.047981036125801</v>
      </c>
      <c r="E98" s="96">
        <v>17.316346396478004</v>
      </c>
      <c r="F98" s="96">
        <v>18.470769489576536</v>
      </c>
      <c r="G98" s="96">
        <v>23.088461861970668</v>
      </c>
      <c r="H98" s="96">
        <v>26.55173114126627</v>
      </c>
      <c r="I98" s="96">
        <v>27.706154234364803</v>
      </c>
      <c r="J98" s="96">
        <v>28.860577327463339</v>
      </c>
      <c r="K98" s="96">
        <v>30.015000420561872</v>
      </c>
      <c r="L98" s="96">
        <v>23.088461861970668</v>
      </c>
      <c r="M98" s="96">
        <v>18.470769489576536</v>
      </c>
      <c r="N98" s="96">
        <v>20.202404129224337</v>
      </c>
      <c r="O98" s="109">
        <v>273.02106151780322</v>
      </c>
    </row>
    <row r="99" spans="1:15" x14ac:dyDescent="0.2">
      <c r="A99" s="237"/>
      <c r="B99" s="107" t="s">
        <v>27</v>
      </c>
      <c r="C99" s="108">
        <v>653.35240412922576</v>
      </c>
      <c r="D99" s="96">
        <v>616.01798103612691</v>
      </c>
      <c r="E99" s="96">
        <v>560.01634639647875</v>
      </c>
      <c r="F99" s="96">
        <v>597.3507694895776</v>
      </c>
      <c r="G99" s="96">
        <v>746.68846186196924</v>
      </c>
      <c r="H99" s="96">
        <v>858.69173114126568</v>
      </c>
      <c r="I99" s="96">
        <v>896.02615423436453</v>
      </c>
      <c r="J99" s="96">
        <v>933.36057732746337</v>
      </c>
      <c r="K99" s="96">
        <v>970.69500042056211</v>
      </c>
      <c r="L99" s="96">
        <v>746.68846186196924</v>
      </c>
      <c r="M99" s="96">
        <v>597.3507694895776</v>
      </c>
      <c r="N99" s="96">
        <v>653.35240412922576</v>
      </c>
      <c r="O99" s="109">
        <v>8829.5910615178054</v>
      </c>
    </row>
    <row r="100" spans="1:15" x14ac:dyDescent="0.2">
      <c r="A100" s="237"/>
      <c r="B100" s="107" t="s">
        <v>49</v>
      </c>
      <c r="C100" s="108">
        <v>30472.399999999998</v>
      </c>
      <c r="D100" s="96">
        <v>28731.119999999999</v>
      </c>
      <c r="E100" s="96">
        <v>26119.200000000001</v>
      </c>
      <c r="F100" s="96">
        <v>27860.48</v>
      </c>
      <c r="G100" s="96">
        <v>34825.599999999999</v>
      </c>
      <c r="H100" s="96">
        <v>40049.440000000002</v>
      </c>
      <c r="I100" s="96">
        <v>41790.720000000001</v>
      </c>
      <c r="J100" s="96">
        <v>43532</v>
      </c>
      <c r="K100" s="96">
        <v>45273.279999999999</v>
      </c>
      <c r="L100" s="96">
        <v>34825.599999999999</v>
      </c>
      <c r="M100" s="96">
        <v>27860.48</v>
      </c>
      <c r="N100" s="96">
        <v>30472.399999999998</v>
      </c>
      <c r="O100" s="109">
        <v>411812.72</v>
      </c>
    </row>
    <row r="101" spans="1:15" x14ac:dyDescent="0.2">
      <c r="A101" s="237"/>
      <c r="B101" s="107" t="s">
        <v>87</v>
      </c>
      <c r="C101" s="108">
        <v>0</v>
      </c>
      <c r="D101" s="96">
        <v>0</v>
      </c>
      <c r="E101" s="96">
        <v>0</v>
      </c>
      <c r="F101" s="96">
        <v>0</v>
      </c>
      <c r="G101" s="96">
        <v>0</v>
      </c>
      <c r="H101" s="96">
        <v>0</v>
      </c>
      <c r="I101" s="96">
        <v>0</v>
      </c>
      <c r="J101" s="96">
        <v>0</v>
      </c>
      <c r="K101" s="96">
        <v>0</v>
      </c>
      <c r="L101" s="96">
        <v>0</v>
      </c>
      <c r="M101" s="96">
        <v>0</v>
      </c>
      <c r="N101" s="96">
        <v>0</v>
      </c>
      <c r="O101" s="109">
        <v>0</v>
      </c>
    </row>
    <row r="102" spans="1:15" x14ac:dyDescent="0.2">
      <c r="A102" s="237"/>
      <c r="B102" s="107" t="s">
        <v>89</v>
      </c>
      <c r="C102" s="108">
        <v>0</v>
      </c>
      <c r="D102" s="96">
        <v>0</v>
      </c>
      <c r="E102" s="96">
        <v>0</v>
      </c>
      <c r="F102" s="96">
        <v>0</v>
      </c>
      <c r="G102" s="96">
        <v>0</v>
      </c>
      <c r="H102" s="96">
        <v>0</v>
      </c>
      <c r="I102" s="96">
        <v>0</v>
      </c>
      <c r="J102" s="96">
        <v>0</v>
      </c>
      <c r="K102" s="96">
        <v>0</v>
      </c>
      <c r="L102" s="96">
        <v>0</v>
      </c>
      <c r="M102" s="96">
        <v>0</v>
      </c>
      <c r="N102" s="96">
        <v>0</v>
      </c>
      <c r="O102" s="109">
        <v>0</v>
      </c>
    </row>
    <row r="103" spans="1:15" x14ac:dyDescent="0.2">
      <c r="A103" s="97" t="s">
        <v>81</v>
      </c>
      <c r="B103" s="97" t="s">
        <v>70</v>
      </c>
      <c r="C103" s="104">
        <v>129754.58</v>
      </c>
      <c r="D103" s="105">
        <v>188410.76</v>
      </c>
      <c r="E103" s="105">
        <v>111091.25</v>
      </c>
      <c r="F103" s="105">
        <v>81763.16</v>
      </c>
      <c r="G103" s="105">
        <v>90650.46</v>
      </c>
      <c r="H103" s="105">
        <v>110202.52</v>
      </c>
      <c r="I103" s="105">
        <v>122644.74</v>
      </c>
      <c r="J103" s="105">
        <v>124422.2</v>
      </c>
      <c r="K103" s="105">
        <v>124422.2</v>
      </c>
      <c r="L103" s="105">
        <v>94205.38</v>
      </c>
      <c r="M103" s="105">
        <v>95094.11</v>
      </c>
      <c r="N103" s="105">
        <v>97760.3</v>
      </c>
      <c r="O103" s="106">
        <v>1370421.6600000001</v>
      </c>
    </row>
    <row r="104" spans="1:15" x14ac:dyDescent="0.2">
      <c r="A104" s="237"/>
      <c r="B104" s="107" t="s">
        <v>25</v>
      </c>
      <c r="C104" s="108">
        <v>2641.1399999999994</v>
      </c>
      <c r="D104" s="96">
        <v>3835.0800000000163</v>
      </c>
      <c r="E104" s="96">
        <v>2261.25</v>
      </c>
      <c r="F104" s="96">
        <v>1664.2799999999988</v>
      </c>
      <c r="G104" s="96">
        <v>1845.1800000000076</v>
      </c>
      <c r="H104" s="96">
        <v>2243.1600000000035</v>
      </c>
      <c r="I104" s="96">
        <v>2496.4200000000128</v>
      </c>
      <c r="J104" s="96">
        <v>2532.6000000000058</v>
      </c>
      <c r="K104" s="96">
        <v>2532.6000000000058</v>
      </c>
      <c r="L104" s="96">
        <v>1917.5400000000081</v>
      </c>
      <c r="M104" s="96">
        <v>1935.6300000000047</v>
      </c>
      <c r="N104" s="96">
        <v>1989.9000000000087</v>
      </c>
      <c r="O104" s="109">
        <v>27894.780000000072</v>
      </c>
    </row>
    <row r="105" spans="1:15" x14ac:dyDescent="0.2">
      <c r="A105" s="237"/>
      <c r="B105" s="107" t="s">
        <v>26</v>
      </c>
      <c r="C105" s="108">
        <v>84.272885796192952</v>
      </c>
      <c r="D105" s="96">
        <v>122.36884786844456</v>
      </c>
      <c r="E105" s="96">
        <v>72.151443318658337</v>
      </c>
      <c r="F105" s="96">
        <v>53.10346228253254</v>
      </c>
      <c r="G105" s="96">
        <v>58.875577748025215</v>
      </c>
      <c r="H105" s="96">
        <v>71.574231772109073</v>
      </c>
      <c r="I105" s="96">
        <v>79.655193423798821</v>
      </c>
      <c r="J105" s="96">
        <v>80.80961651689735</v>
      </c>
      <c r="K105" s="96">
        <v>80.80961651689735</v>
      </c>
      <c r="L105" s="96">
        <v>61.184423934222281</v>
      </c>
      <c r="M105" s="96">
        <v>61.761635480771545</v>
      </c>
      <c r="N105" s="96">
        <v>63.493270120419346</v>
      </c>
      <c r="O105" s="109">
        <v>890.06020477896925</v>
      </c>
    </row>
    <row r="106" spans="1:15" x14ac:dyDescent="0.2">
      <c r="A106" s="237"/>
      <c r="B106" s="107" t="s">
        <v>27</v>
      </c>
      <c r="C106" s="108">
        <v>2725.4128857961923</v>
      </c>
      <c r="D106" s="96">
        <v>3957.4488478684607</v>
      </c>
      <c r="E106" s="96">
        <v>2333.4014433186585</v>
      </c>
      <c r="F106" s="96">
        <v>1717.3834622825314</v>
      </c>
      <c r="G106" s="96">
        <v>1904.0555777480329</v>
      </c>
      <c r="H106" s="96">
        <v>2314.7342317721127</v>
      </c>
      <c r="I106" s="96">
        <v>2576.0751934238115</v>
      </c>
      <c r="J106" s="96">
        <v>2613.409616516903</v>
      </c>
      <c r="K106" s="96">
        <v>2613.409616516903</v>
      </c>
      <c r="L106" s="96">
        <v>1978.7244239342303</v>
      </c>
      <c r="M106" s="96">
        <v>1997.3916354807761</v>
      </c>
      <c r="N106" s="96">
        <v>2053.393270120428</v>
      </c>
      <c r="O106" s="109">
        <v>28784.840204779041</v>
      </c>
    </row>
    <row r="107" spans="1:15" x14ac:dyDescent="0.2">
      <c r="A107" s="237"/>
      <c r="B107" s="107" t="s">
        <v>49</v>
      </c>
      <c r="C107" s="108">
        <v>127113.44</v>
      </c>
      <c r="D107" s="96">
        <v>184575.68</v>
      </c>
      <c r="E107" s="96">
        <v>108830</v>
      </c>
      <c r="F107" s="96">
        <v>80098.880000000005</v>
      </c>
      <c r="G107" s="96">
        <v>88805.28</v>
      </c>
      <c r="H107" s="96">
        <v>107959.36</v>
      </c>
      <c r="I107" s="96">
        <v>120148.31999999999</v>
      </c>
      <c r="J107" s="96">
        <v>121889.59999999999</v>
      </c>
      <c r="K107" s="96">
        <v>121889.59999999999</v>
      </c>
      <c r="L107" s="96">
        <v>92287.84</v>
      </c>
      <c r="M107" s="96">
        <v>93158.48</v>
      </c>
      <c r="N107" s="96">
        <v>95770.4</v>
      </c>
      <c r="O107" s="109">
        <v>1342526.88</v>
      </c>
    </row>
    <row r="108" spans="1:15" x14ac:dyDescent="0.2">
      <c r="A108" s="237"/>
      <c r="B108" s="107" t="s">
        <v>87</v>
      </c>
      <c r="C108" s="108">
        <v>0</v>
      </c>
      <c r="D108" s="96">
        <v>0</v>
      </c>
      <c r="E108" s="96">
        <v>0</v>
      </c>
      <c r="F108" s="96">
        <v>0</v>
      </c>
      <c r="G108" s="96">
        <v>0</v>
      </c>
      <c r="H108" s="96">
        <v>0</v>
      </c>
      <c r="I108" s="96">
        <v>0</v>
      </c>
      <c r="J108" s="96">
        <v>0</v>
      </c>
      <c r="K108" s="96">
        <v>0</v>
      </c>
      <c r="L108" s="96">
        <v>0</v>
      </c>
      <c r="M108" s="96">
        <v>0</v>
      </c>
      <c r="N108" s="96">
        <v>0</v>
      </c>
      <c r="O108" s="109">
        <v>0</v>
      </c>
    </row>
    <row r="109" spans="1:15" x14ac:dyDescent="0.2">
      <c r="A109" s="237"/>
      <c r="B109" s="107" t="s">
        <v>89</v>
      </c>
      <c r="C109" s="108">
        <v>0</v>
      </c>
      <c r="D109" s="96">
        <v>0</v>
      </c>
      <c r="E109" s="96">
        <v>0</v>
      </c>
      <c r="F109" s="96">
        <v>0</v>
      </c>
      <c r="G109" s="96">
        <v>0</v>
      </c>
      <c r="H109" s="96">
        <v>0</v>
      </c>
      <c r="I109" s="96">
        <v>0</v>
      </c>
      <c r="J109" s="96">
        <v>0</v>
      </c>
      <c r="K109" s="96">
        <v>0</v>
      </c>
      <c r="L109" s="96">
        <v>0</v>
      </c>
      <c r="M109" s="96">
        <v>0</v>
      </c>
      <c r="N109" s="96">
        <v>0</v>
      </c>
      <c r="O109" s="109">
        <v>0</v>
      </c>
    </row>
    <row r="110" spans="1:15" x14ac:dyDescent="0.2">
      <c r="A110" s="97" t="s">
        <v>83</v>
      </c>
      <c r="B110" s="97" t="s">
        <v>70</v>
      </c>
      <c r="C110" s="104">
        <v>33771.74</v>
      </c>
      <c r="D110" s="105">
        <v>53323.8</v>
      </c>
      <c r="E110" s="105">
        <v>27550.63</v>
      </c>
      <c r="F110" s="105">
        <v>17774.599999999999</v>
      </c>
      <c r="G110" s="105">
        <v>24884.440000000002</v>
      </c>
      <c r="H110" s="105">
        <v>39992.85</v>
      </c>
      <c r="I110" s="105">
        <v>47102.69</v>
      </c>
      <c r="J110" s="105">
        <v>44436.5</v>
      </c>
      <c r="K110" s="105">
        <v>43547.770000000004</v>
      </c>
      <c r="L110" s="105">
        <v>33771.74</v>
      </c>
      <c r="M110" s="105">
        <v>28439.360000000001</v>
      </c>
      <c r="N110" s="105">
        <v>27550.63</v>
      </c>
      <c r="O110" s="106">
        <v>422146.75</v>
      </c>
    </row>
    <row r="111" spans="1:15" x14ac:dyDescent="0.2">
      <c r="A111" s="237"/>
      <c r="B111" s="107" t="s">
        <v>25</v>
      </c>
      <c r="C111" s="108">
        <v>687.41999999999825</v>
      </c>
      <c r="D111" s="96">
        <v>1085.4000000000015</v>
      </c>
      <c r="E111" s="96">
        <v>560.79000000000087</v>
      </c>
      <c r="F111" s="96">
        <v>361.79999999999927</v>
      </c>
      <c r="G111" s="96">
        <v>506.52000000000407</v>
      </c>
      <c r="H111" s="96">
        <v>814.04999999999563</v>
      </c>
      <c r="I111" s="96">
        <v>958.77000000000407</v>
      </c>
      <c r="J111" s="96">
        <v>904.5</v>
      </c>
      <c r="K111" s="96">
        <v>886.41000000000349</v>
      </c>
      <c r="L111" s="96">
        <v>687.41999999999825</v>
      </c>
      <c r="M111" s="96">
        <v>578.88000000000102</v>
      </c>
      <c r="N111" s="96">
        <v>560.79000000000087</v>
      </c>
      <c r="O111" s="109">
        <v>8592.7500000000073</v>
      </c>
    </row>
    <row r="112" spans="1:15" x14ac:dyDescent="0.2">
      <c r="A112" s="237"/>
      <c r="B112" s="107" t="s">
        <v>26</v>
      </c>
      <c r="C112" s="108">
        <v>21.934038768872135</v>
      </c>
      <c r="D112" s="96">
        <v>34.632692792956007</v>
      </c>
      <c r="E112" s="96">
        <v>17.893557943027268</v>
      </c>
      <c r="F112" s="96">
        <v>11.544230930985334</v>
      </c>
      <c r="G112" s="96">
        <v>16.161923303379471</v>
      </c>
      <c r="H112" s="96">
        <v>25.974519594717005</v>
      </c>
      <c r="I112" s="96">
        <v>30.59221196711114</v>
      </c>
      <c r="J112" s="96">
        <v>28.860577327463339</v>
      </c>
      <c r="K112" s="96">
        <v>28.283365780914075</v>
      </c>
      <c r="L112" s="96">
        <v>21.934038768872135</v>
      </c>
      <c r="M112" s="96">
        <v>18.470769489576536</v>
      </c>
      <c r="N112" s="96">
        <v>17.893557943027268</v>
      </c>
      <c r="O112" s="109">
        <v>274.17548461090166</v>
      </c>
    </row>
    <row r="113" spans="1:15" x14ac:dyDescent="0.2">
      <c r="A113" s="237"/>
      <c r="B113" s="107" t="s">
        <v>27</v>
      </c>
      <c r="C113" s="108">
        <v>709.3540387688704</v>
      </c>
      <c r="D113" s="96">
        <v>1120.0326927929575</v>
      </c>
      <c r="E113" s="96">
        <v>578.68355794302818</v>
      </c>
      <c r="F113" s="96">
        <v>373.34423093098462</v>
      </c>
      <c r="G113" s="96">
        <v>522.68192330338354</v>
      </c>
      <c r="H113" s="96">
        <v>840.02451959471261</v>
      </c>
      <c r="I113" s="96">
        <v>989.36221196711517</v>
      </c>
      <c r="J113" s="96">
        <v>933.36057732746337</v>
      </c>
      <c r="K113" s="96">
        <v>914.69336578091759</v>
      </c>
      <c r="L113" s="96">
        <v>709.3540387688704</v>
      </c>
      <c r="M113" s="96">
        <v>597.3507694895776</v>
      </c>
      <c r="N113" s="96">
        <v>578.68355794302818</v>
      </c>
      <c r="O113" s="109">
        <v>8866.9254846109088</v>
      </c>
    </row>
    <row r="114" spans="1:15" x14ac:dyDescent="0.2">
      <c r="A114" s="237"/>
      <c r="B114" s="107" t="s">
        <v>49</v>
      </c>
      <c r="C114" s="108">
        <v>33084.32</v>
      </c>
      <c r="D114" s="96">
        <v>52238.400000000001</v>
      </c>
      <c r="E114" s="96">
        <v>26989.84</v>
      </c>
      <c r="F114" s="96">
        <v>17412.8</v>
      </c>
      <c r="G114" s="96">
        <v>24377.919999999998</v>
      </c>
      <c r="H114" s="96">
        <v>39178.800000000003</v>
      </c>
      <c r="I114" s="96">
        <v>46143.92</v>
      </c>
      <c r="J114" s="96">
        <v>43532</v>
      </c>
      <c r="K114" s="96">
        <v>42661.36</v>
      </c>
      <c r="L114" s="96">
        <v>33084.32</v>
      </c>
      <c r="M114" s="96">
        <v>27860.48</v>
      </c>
      <c r="N114" s="96">
        <v>26989.84</v>
      </c>
      <c r="O114" s="109">
        <v>413554</v>
      </c>
    </row>
    <row r="115" spans="1:15" x14ac:dyDescent="0.2">
      <c r="A115" s="237"/>
      <c r="B115" s="107" t="s">
        <v>87</v>
      </c>
      <c r="C115" s="108">
        <v>0</v>
      </c>
      <c r="D115" s="96">
        <v>0</v>
      </c>
      <c r="E115" s="96">
        <v>0</v>
      </c>
      <c r="F115" s="96">
        <v>0</v>
      </c>
      <c r="G115" s="96">
        <v>0</v>
      </c>
      <c r="H115" s="96">
        <v>0</v>
      </c>
      <c r="I115" s="96">
        <v>0</v>
      </c>
      <c r="J115" s="96">
        <v>0</v>
      </c>
      <c r="K115" s="96">
        <v>0</v>
      </c>
      <c r="L115" s="96">
        <v>0</v>
      </c>
      <c r="M115" s="96">
        <v>0</v>
      </c>
      <c r="N115" s="96">
        <v>0</v>
      </c>
      <c r="O115" s="109">
        <v>0</v>
      </c>
    </row>
    <row r="116" spans="1:15" x14ac:dyDescent="0.2">
      <c r="A116" s="237"/>
      <c r="B116" s="107" t="s">
        <v>89</v>
      </c>
      <c r="C116" s="108">
        <v>0</v>
      </c>
      <c r="D116" s="96">
        <v>0</v>
      </c>
      <c r="E116" s="96">
        <v>0</v>
      </c>
      <c r="F116" s="96">
        <v>0</v>
      </c>
      <c r="G116" s="96">
        <v>0</v>
      </c>
      <c r="H116" s="96">
        <v>0</v>
      </c>
      <c r="I116" s="96">
        <v>0</v>
      </c>
      <c r="J116" s="96">
        <v>0</v>
      </c>
      <c r="K116" s="96">
        <v>0</v>
      </c>
      <c r="L116" s="96">
        <v>0</v>
      </c>
      <c r="M116" s="96">
        <v>0</v>
      </c>
      <c r="N116" s="96">
        <v>0</v>
      </c>
      <c r="O116" s="109">
        <v>0</v>
      </c>
    </row>
    <row r="117" spans="1:15" x14ac:dyDescent="0.2">
      <c r="A117" s="97" t="s">
        <v>71</v>
      </c>
      <c r="B117" s="98"/>
      <c r="C117" s="104">
        <v>6808560.5300000003</v>
      </c>
      <c r="D117" s="105">
        <v>8242082.0199999996</v>
      </c>
      <c r="E117" s="105">
        <v>5763414.0499999998</v>
      </c>
      <c r="F117" s="105">
        <v>5375039.0399999991</v>
      </c>
      <c r="G117" s="105">
        <v>6759680.3800000018</v>
      </c>
      <c r="H117" s="105">
        <v>8557581.1699999999</v>
      </c>
      <c r="I117" s="105">
        <v>8987726.4899999965</v>
      </c>
      <c r="J117" s="105">
        <v>9054381.2400000002</v>
      </c>
      <c r="K117" s="105">
        <v>9023275.6899999995</v>
      </c>
      <c r="L117" s="105">
        <v>7036075.4100000001</v>
      </c>
      <c r="M117" s="105">
        <v>5746528.1800000006</v>
      </c>
      <c r="N117" s="105">
        <v>6017590.8299999991</v>
      </c>
      <c r="O117" s="106">
        <v>87371935.029999986</v>
      </c>
    </row>
    <row r="118" spans="1:15" x14ac:dyDescent="0.2">
      <c r="A118" s="97" t="s">
        <v>28</v>
      </c>
      <c r="B118" s="98"/>
      <c r="C118" s="249">
        <v>138587.4900000004</v>
      </c>
      <c r="D118" s="250">
        <v>167766.66000000009</v>
      </c>
      <c r="E118" s="250">
        <v>117313.65000000017</v>
      </c>
      <c r="F118" s="250">
        <v>109408.32000000037</v>
      </c>
      <c r="G118" s="250">
        <v>137592.54000000015</v>
      </c>
      <c r="H118" s="250">
        <v>174188.61000000048</v>
      </c>
      <c r="I118" s="250">
        <v>182944.17000000045</v>
      </c>
      <c r="J118" s="250">
        <v>184300.92000000042</v>
      </c>
      <c r="K118" s="250">
        <v>183667.77000000025</v>
      </c>
      <c r="L118" s="250">
        <v>143218.53000000055</v>
      </c>
      <c r="M118" s="250">
        <v>116969.93999999994</v>
      </c>
      <c r="N118" s="250">
        <v>122487.38999999987</v>
      </c>
      <c r="O118" s="251">
        <v>1778445.990000003</v>
      </c>
    </row>
    <row r="119" spans="1:15" x14ac:dyDescent="0.2">
      <c r="A119" s="97" t="s">
        <v>29</v>
      </c>
      <c r="B119" s="98"/>
      <c r="C119" s="249">
        <v>4422.0176581139331</v>
      </c>
      <c r="D119" s="250">
        <v>5353.0598826978994</v>
      </c>
      <c r="E119" s="250">
        <v>3743.2168793719952</v>
      </c>
      <c r="F119" s="250">
        <v>3490.9754335299649</v>
      </c>
      <c r="G119" s="250">
        <v>4390.2710230537232</v>
      </c>
      <c r="H119" s="250">
        <v>5557.9699817228893</v>
      </c>
      <c r="I119" s="250">
        <v>5837.340370252733</v>
      </c>
      <c r="J119" s="250">
        <v>5880.6312362439285</v>
      </c>
      <c r="K119" s="250">
        <v>5860.4288321147042</v>
      </c>
      <c r="L119" s="250">
        <v>4569.7838140305448</v>
      </c>
      <c r="M119" s="250">
        <v>3732.2498599875594</v>
      </c>
      <c r="N119" s="250">
        <v>3908.2993816850849</v>
      </c>
      <c r="O119" s="251">
        <v>56746.244352804963</v>
      </c>
    </row>
    <row r="120" spans="1:15" x14ac:dyDescent="0.2">
      <c r="A120" s="97" t="s">
        <v>30</v>
      </c>
      <c r="B120" s="98"/>
      <c r="C120" s="249">
        <v>143009.50765811437</v>
      </c>
      <c r="D120" s="250">
        <v>173119.71988269797</v>
      </c>
      <c r="E120" s="250">
        <v>121056.86687937214</v>
      </c>
      <c r="F120" s="250">
        <v>112899.29543353034</v>
      </c>
      <c r="G120" s="250">
        <v>141982.81102305383</v>
      </c>
      <c r="H120" s="250">
        <v>179746.57998172336</v>
      </c>
      <c r="I120" s="250">
        <v>188781.51037025318</v>
      </c>
      <c r="J120" s="250">
        <v>190181.55123624436</v>
      </c>
      <c r="K120" s="250">
        <v>189528.19883211495</v>
      </c>
      <c r="L120" s="250">
        <v>147788.31381403113</v>
      </c>
      <c r="M120" s="250">
        <v>120702.18985998748</v>
      </c>
      <c r="N120" s="250">
        <v>126395.68938168496</v>
      </c>
      <c r="O120" s="251">
        <v>1835192.2343528082</v>
      </c>
    </row>
    <row r="121" spans="1:15" x14ac:dyDescent="0.2">
      <c r="A121" s="97" t="s">
        <v>61</v>
      </c>
      <c r="B121" s="98"/>
      <c r="C121" s="104">
        <v>6669973.0399999991</v>
      </c>
      <c r="D121" s="105">
        <v>8074315.3600000003</v>
      </c>
      <c r="E121" s="105">
        <v>5646100.4000000013</v>
      </c>
      <c r="F121" s="105">
        <v>5265630.72</v>
      </c>
      <c r="G121" s="105">
        <v>6622087.8399999999</v>
      </c>
      <c r="H121" s="105">
        <v>8383392.5600000005</v>
      </c>
      <c r="I121" s="105">
        <v>8804782.3200000003</v>
      </c>
      <c r="J121" s="105">
        <v>8870080.3199999984</v>
      </c>
      <c r="K121" s="105">
        <v>8839607.9199999981</v>
      </c>
      <c r="L121" s="105">
        <v>6892856.8799999999</v>
      </c>
      <c r="M121" s="105">
        <v>5629558.2400000012</v>
      </c>
      <c r="N121" s="105">
        <v>5895103.4400000013</v>
      </c>
      <c r="O121" s="106">
        <v>85593489.039999992</v>
      </c>
    </row>
    <row r="122" spans="1:15" x14ac:dyDescent="0.2">
      <c r="A122" s="97" t="s">
        <v>88</v>
      </c>
      <c r="B122" s="98"/>
      <c r="C122" s="104">
        <v>0</v>
      </c>
      <c r="D122" s="105">
        <v>0</v>
      </c>
      <c r="E122" s="105">
        <v>0</v>
      </c>
      <c r="F122" s="105">
        <v>0</v>
      </c>
      <c r="G122" s="105">
        <v>0</v>
      </c>
      <c r="H122" s="105">
        <v>0</v>
      </c>
      <c r="I122" s="105">
        <v>0</v>
      </c>
      <c r="J122" s="105">
        <v>0</v>
      </c>
      <c r="K122" s="105">
        <v>0</v>
      </c>
      <c r="L122" s="105">
        <v>0</v>
      </c>
      <c r="M122" s="105">
        <v>0</v>
      </c>
      <c r="N122" s="105">
        <v>0</v>
      </c>
      <c r="O122" s="106">
        <v>0</v>
      </c>
    </row>
    <row r="123" spans="1:15" x14ac:dyDescent="0.2">
      <c r="A123" s="110" t="s">
        <v>90</v>
      </c>
      <c r="B123" s="238"/>
      <c r="C123" s="111">
        <v>0</v>
      </c>
      <c r="D123" s="112">
        <v>0</v>
      </c>
      <c r="E123" s="112">
        <v>0</v>
      </c>
      <c r="F123" s="112">
        <v>0</v>
      </c>
      <c r="G123" s="112">
        <v>0</v>
      </c>
      <c r="H123" s="112">
        <v>0</v>
      </c>
      <c r="I123" s="112">
        <v>0</v>
      </c>
      <c r="J123" s="112">
        <v>0</v>
      </c>
      <c r="K123" s="112">
        <v>0</v>
      </c>
      <c r="L123" s="112">
        <v>0</v>
      </c>
      <c r="M123" s="112">
        <v>0</v>
      </c>
      <c r="N123" s="112">
        <v>0</v>
      </c>
      <c r="O123" s="113">
        <v>0</v>
      </c>
    </row>
    <row r="125" spans="1:15" x14ac:dyDescent="0.2">
      <c r="L125" s="240"/>
      <c r="O125" s="240"/>
    </row>
    <row r="126" spans="1:15" x14ac:dyDescent="0.2">
      <c r="L126" s="96"/>
      <c r="O126" s="96"/>
    </row>
  </sheetData>
  <phoneticPr fontId="6" type="noConversion"/>
  <pageMargins left="0.5" right="0.5" top="0.73" bottom="0.98" header="0.5" footer="0.5"/>
  <pageSetup scale="53" fitToHeight="0" orientation="landscape" horizontalDpi="1200" verticalDpi="12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S220"/>
  <sheetViews>
    <sheetView showGridLines="0" zoomScale="90" zoomScaleNormal="90" zoomScaleSheetLayoutView="100" workbookViewId="0">
      <selection activeCell="G19" sqref="G19"/>
    </sheetView>
  </sheetViews>
  <sheetFormatPr defaultColWidth="8.7109375" defaultRowHeight="12.75" x14ac:dyDescent="0.2"/>
  <cols>
    <col min="1" max="1" width="0.5703125" style="1" customWidth="1"/>
    <col min="2" max="2" width="10.28515625" style="1" bestFit="1" customWidth="1"/>
    <col min="3" max="3" width="10.7109375" style="1" bestFit="1" customWidth="1"/>
    <col min="4" max="4" width="11" style="162" customWidth="1"/>
    <col min="5" max="5" width="24.28515625" style="1" customWidth="1"/>
    <col min="6" max="6" width="7.7109375" style="162" customWidth="1"/>
    <col min="7" max="7" width="6.7109375" style="162" customWidth="1"/>
    <col min="8" max="8" width="11.140625" style="162" bestFit="1" customWidth="1"/>
    <col min="9" max="9" width="11.28515625" style="163" customWidth="1"/>
    <col min="10" max="10" width="14.85546875" style="162" bestFit="1" customWidth="1"/>
    <col min="11" max="11" width="14.85546875" style="164" bestFit="1" customWidth="1"/>
    <col min="12" max="12" width="14.7109375" style="162" customWidth="1"/>
    <col min="13" max="13" width="13.42578125" style="124" bestFit="1" customWidth="1"/>
    <col min="14" max="15" width="13.42578125" style="124" customWidth="1"/>
    <col min="16" max="16" width="14.85546875" style="124" bestFit="1" customWidth="1"/>
    <col min="17" max="17" width="13.42578125" style="124" customWidth="1"/>
    <col min="18" max="18" width="15.5703125" style="236" customWidth="1"/>
    <col min="19" max="16384" width="8.7109375" style="1"/>
  </cols>
  <sheetData>
    <row r="1" spans="2:18" ht="22.5" x14ac:dyDescent="0.2">
      <c r="B1" s="10" t="s">
        <v>97</v>
      </c>
      <c r="C1" s="114"/>
      <c r="D1" s="115"/>
      <c r="E1" s="114"/>
      <c r="F1" s="116" t="s">
        <v>12</v>
      </c>
      <c r="G1" s="117"/>
      <c r="H1" s="118"/>
      <c r="I1" s="119"/>
      <c r="J1" s="243" t="str">
        <f>"True-Up ARR
(CY"&amp;R1&amp;")"</f>
        <v>True-Up ARR
(CY2021)</v>
      </c>
      <c r="K1" s="243" t="str">
        <f>"Projected ARR
(Jan'"&amp;RIGHT(R$1,2)&amp;" - Dec'"&amp;RIGHT(R$1,2)&amp;")"</f>
        <v>Projected ARR
(Jan'21 - Dec'21)</v>
      </c>
      <c r="L1" s="120" t="s">
        <v>45</v>
      </c>
      <c r="M1" s="121"/>
      <c r="N1" s="52"/>
      <c r="O1" s="52"/>
      <c r="P1" s="52"/>
      <c r="Q1" s="47"/>
      <c r="R1" s="122">
        <v>2021</v>
      </c>
    </row>
    <row r="2" spans="2:18" x14ac:dyDescent="0.2">
      <c r="B2" s="10" t="s">
        <v>52</v>
      </c>
      <c r="C2" s="114"/>
      <c r="D2" s="115"/>
      <c r="E2" s="114"/>
      <c r="F2" s="123">
        <v>9</v>
      </c>
      <c r="G2" s="253"/>
      <c r="H2" s="253"/>
      <c r="I2" s="125" t="s">
        <v>6</v>
      </c>
      <c r="J2" s="126">
        <v>87371503.16904752</v>
      </c>
      <c r="K2" s="126">
        <v>85543284.241230071</v>
      </c>
      <c r="L2" s="127"/>
      <c r="M2" s="128"/>
      <c r="N2" s="52"/>
      <c r="O2" s="52"/>
      <c r="P2" s="52"/>
      <c r="Q2" s="52"/>
      <c r="R2" s="1"/>
    </row>
    <row r="3" spans="2:18" x14ac:dyDescent="0.2">
      <c r="B3" s="10" t="str">
        <f>"for CY"&amp;R1&amp;" SPP Network Transmission Service"</f>
        <v>for CY2021 SPP Network Transmission Service</v>
      </c>
      <c r="C3" s="114"/>
      <c r="D3" s="115"/>
      <c r="E3" s="114"/>
      <c r="F3" s="123"/>
      <c r="G3" s="253"/>
      <c r="H3" s="253"/>
      <c r="I3" s="125" t="s">
        <v>10</v>
      </c>
      <c r="J3" s="129">
        <v>888.73</v>
      </c>
      <c r="K3" s="129">
        <v>870.64</v>
      </c>
      <c r="L3" s="130" t="str">
        <f>"Inv. Jan-Dec'"&amp;RIGHT(R1,2)</f>
        <v>Inv. Jan-Dec'21</v>
      </c>
      <c r="M3" s="128"/>
      <c r="N3" s="52"/>
      <c r="O3" s="52"/>
      <c r="P3" s="52"/>
      <c r="Q3" s="52"/>
      <c r="R3" s="1"/>
    </row>
    <row r="4" spans="2:18" x14ac:dyDescent="0.2">
      <c r="B4" s="9"/>
      <c r="C4" s="114"/>
      <c r="D4" s="115"/>
      <c r="E4" s="114"/>
      <c r="F4" s="123"/>
      <c r="G4" s="124"/>
      <c r="H4" s="124"/>
      <c r="I4" s="51"/>
      <c r="J4" s="124"/>
      <c r="K4" s="131"/>
      <c r="L4" s="124"/>
      <c r="M4" s="132"/>
      <c r="R4" s="1"/>
    </row>
    <row r="5" spans="2:18" x14ac:dyDescent="0.2">
      <c r="B5" s="9"/>
      <c r="C5" s="114"/>
      <c r="D5" s="115"/>
      <c r="E5" s="114"/>
      <c r="F5" s="123"/>
      <c r="G5" s="124"/>
      <c r="H5" s="124"/>
      <c r="I5" s="125"/>
      <c r="J5" s="124"/>
      <c r="K5" s="126">
        <v>0</v>
      </c>
      <c r="L5" s="239"/>
      <c r="M5" s="133"/>
      <c r="N5" s="134"/>
      <c r="O5" s="134"/>
      <c r="P5" s="134"/>
      <c r="Q5" s="134"/>
      <c r="R5" s="135"/>
    </row>
    <row r="6" spans="2:18" x14ac:dyDescent="0.2">
      <c r="B6" s="10" t="s">
        <v>23</v>
      </c>
      <c r="D6" s="115"/>
      <c r="E6" s="114"/>
      <c r="F6" s="136"/>
      <c r="G6" s="137"/>
      <c r="H6" s="138"/>
      <c r="I6" s="139"/>
      <c r="J6" s="140"/>
      <c r="K6" s="129">
        <v>0</v>
      </c>
      <c r="L6" s="141"/>
      <c r="M6" s="133"/>
      <c r="N6" s="134"/>
      <c r="O6" s="134"/>
      <c r="P6" s="134"/>
      <c r="Q6" s="134"/>
      <c r="R6" s="1"/>
    </row>
    <row r="7" spans="2:18" x14ac:dyDescent="0.2">
      <c r="B7" s="9" t="s">
        <v>77</v>
      </c>
      <c r="D7" s="115"/>
      <c r="E7" s="114"/>
      <c r="F7" s="123"/>
      <c r="G7" s="254"/>
      <c r="H7" s="253"/>
      <c r="I7" s="125"/>
      <c r="J7" s="142"/>
      <c r="K7" s="127"/>
      <c r="L7" s="127"/>
      <c r="M7" s="143"/>
      <c r="N7" s="144"/>
      <c r="O7" s="144"/>
      <c r="P7" s="144"/>
      <c r="Q7" s="144"/>
      <c r="R7" s="1"/>
    </row>
    <row r="8" spans="2:18" x14ac:dyDescent="0.2">
      <c r="B8" s="10"/>
      <c r="C8" s="114"/>
      <c r="D8" s="115"/>
      <c r="E8" s="114"/>
      <c r="F8" s="123"/>
      <c r="G8" s="253"/>
      <c r="H8" s="253"/>
      <c r="I8" s="125"/>
      <c r="J8" s="145"/>
      <c r="K8" s="127"/>
      <c r="L8" s="146"/>
      <c r="M8" s="128"/>
      <c r="N8" s="52"/>
      <c r="O8" s="52"/>
      <c r="P8" s="52"/>
      <c r="Q8" s="52"/>
      <c r="R8" s="135"/>
    </row>
    <row r="9" spans="2:18" x14ac:dyDescent="0.2">
      <c r="B9" s="147"/>
      <c r="C9" s="114"/>
      <c r="D9" s="115"/>
      <c r="E9" s="114"/>
      <c r="F9" s="123"/>
      <c r="G9" s="124"/>
      <c r="H9" s="124"/>
      <c r="I9" s="148"/>
      <c r="J9" s="149"/>
      <c r="K9" s="150"/>
      <c r="L9" s="151"/>
      <c r="M9" s="128"/>
      <c r="N9" s="52"/>
      <c r="O9" s="52"/>
      <c r="P9" s="52"/>
      <c r="Q9" s="52"/>
      <c r="R9" s="135"/>
    </row>
    <row r="10" spans="2:18" ht="13.5" thickBot="1" x14ac:dyDescent="0.25">
      <c r="B10" s="9"/>
      <c r="D10" s="1"/>
      <c r="E10" s="152"/>
      <c r="F10" s="153"/>
      <c r="G10" s="154"/>
      <c r="H10" s="155"/>
      <c r="I10" s="156"/>
      <c r="J10" s="157"/>
      <c r="K10" s="157"/>
      <c r="L10" s="158"/>
      <c r="M10" s="159"/>
      <c r="R10" s="160"/>
    </row>
    <row r="11" spans="2:18" x14ac:dyDescent="0.2">
      <c r="B11" s="161"/>
      <c r="E11" s="152"/>
      <c r="L11" s="165"/>
      <c r="M11" s="1"/>
      <c r="N11" s="1"/>
      <c r="O11" s="1"/>
      <c r="P11" s="1"/>
      <c r="Q11" s="1"/>
      <c r="R11" s="135"/>
    </row>
    <row r="12" spans="2:18" x14ac:dyDescent="0.2">
      <c r="E12" s="152"/>
      <c r="L12" s="165"/>
      <c r="R12" s="166" t="s">
        <v>60</v>
      </c>
    </row>
    <row r="13" spans="2:18" x14ac:dyDescent="0.2">
      <c r="E13" s="152"/>
      <c r="F13" s="167"/>
      <c r="G13" s="168"/>
      <c r="H13" s="168"/>
      <c r="I13" s="169" t="s">
        <v>58</v>
      </c>
      <c r="J13" s="170">
        <f t="shared" ref="J13:R13" si="0">SUM(J56:J211)</f>
        <v>22736379.590000015</v>
      </c>
      <c r="K13" s="170">
        <f t="shared" si="0"/>
        <v>22273583.11999999</v>
      </c>
      <c r="L13" s="171">
        <f t="shared" si="0"/>
        <v>462796.47000000044</v>
      </c>
      <c r="M13" s="172">
        <f t="shared" si="0"/>
        <v>14766.802995369899</v>
      </c>
      <c r="N13" s="170">
        <f t="shared" si="0"/>
        <v>477563.27299537015</v>
      </c>
      <c r="O13" s="170">
        <f t="shared" si="0"/>
        <v>0</v>
      </c>
      <c r="P13" s="170">
        <f t="shared" si="0"/>
        <v>0</v>
      </c>
      <c r="Q13" s="170">
        <f t="shared" si="0"/>
        <v>0</v>
      </c>
      <c r="R13" s="171">
        <f t="shared" si="0"/>
        <v>477563.27299537015</v>
      </c>
    </row>
    <row r="14" spans="2:18" x14ac:dyDescent="0.2">
      <c r="E14" s="152"/>
      <c r="F14" s="173"/>
      <c r="G14" s="173"/>
      <c r="H14" s="173"/>
      <c r="I14" s="174" t="s">
        <v>59</v>
      </c>
      <c r="J14" s="170">
        <f>SUM(J20:J211)</f>
        <v>87371935.030000061</v>
      </c>
      <c r="K14" s="170">
        <f>SUM(K20:K211)</f>
        <v>85593489.039999962</v>
      </c>
      <c r="L14" s="171">
        <f>SUM(L20:L211)</f>
        <v>1778445.9900000021</v>
      </c>
      <c r="M14" s="241">
        <v>56746.244352804963</v>
      </c>
      <c r="N14" s="170">
        <f>SUM(N20:N211)</f>
        <v>1835192.2343528082</v>
      </c>
      <c r="O14" s="170">
        <f>SUM(O20:O211)</f>
        <v>0</v>
      </c>
      <c r="P14" s="170">
        <f>SUM(P20:P211)</f>
        <v>0</v>
      </c>
      <c r="Q14" s="170">
        <f>SUM(Q20:Q211)</f>
        <v>0</v>
      </c>
      <c r="R14" s="171">
        <f>SUM(R20:R211)</f>
        <v>1835192.2343528082</v>
      </c>
    </row>
    <row r="15" spans="2:18" x14ac:dyDescent="0.2">
      <c r="B15" s="175" t="s">
        <v>82</v>
      </c>
      <c r="E15" s="152"/>
      <c r="J15" s="163"/>
      <c r="L15" s="165"/>
      <c r="M15" s="244"/>
      <c r="N15" s="176"/>
      <c r="O15" s="176"/>
      <c r="P15" s="176"/>
      <c r="Q15" s="176"/>
      <c r="R15" s="177" t="s">
        <v>20</v>
      </c>
    </row>
    <row r="16" spans="2:18" x14ac:dyDescent="0.2">
      <c r="B16" s="178" t="str">
        <f>"** Actual Trued-Up CY"&amp;R1&amp;" Charge reflects "&amp;R1&amp;" True-UP Rate x MW"</f>
        <v>** Actual Trued-Up CY2021 Charge reflects 2021 True-UP Rate x MW</v>
      </c>
      <c r="E16" s="152"/>
      <c r="F16" s="124"/>
      <c r="G16" s="5"/>
      <c r="J16" s="179"/>
      <c r="L16" s="180" t="s">
        <v>11</v>
      </c>
      <c r="M16" s="176"/>
      <c r="N16" s="176"/>
      <c r="O16" s="176"/>
      <c r="P16" s="176"/>
      <c r="Q16" s="176"/>
      <c r="R16" s="181"/>
    </row>
    <row r="17" spans="1:18" x14ac:dyDescent="0.2">
      <c r="B17" s="182" t="s">
        <v>62</v>
      </c>
      <c r="E17" s="152"/>
      <c r="I17" s="183"/>
      <c r="J17" s="184"/>
      <c r="K17" s="185"/>
      <c r="L17" s="185"/>
      <c r="M17" s="185"/>
      <c r="N17" s="185"/>
      <c r="O17" s="185"/>
      <c r="P17" s="185"/>
      <c r="Q17" s="185"/>
      <c r="R17" s="186"/>
    </row>
    <row r="18" spans="1:18" ht="3.6" customHeight="1" x14ac:dyDescent="0.2">
      <c r="I18" s="187"/>
      <c r="J18" s="184"/>
      <c r="K18" s="187"/>
      <c r="L18" s="187"/>
      <c r="M18" s="188"/>
      <c r="N18" s="188"/>
      <c r="O18" s="188"/>
      <c r="P18" s="188"/>
      <c r="Q18" s="188"/>
      <c r="R18" s="189"/>
    </row>
    <row r="19" spans="1:18" ht="38.25" customHeight="1" x14ac:dyDescent="0.2">
      <c r="B19" s="190" t="s">
        <v>53</v>
      </c>
      <c r="C19" s="191" t="s">
        <v>4</v>
      </c>
      <c r="D19" s="191" t="s">
        <v>5</v>
      </c>
      <c r="E19" s="192" t="s">
        <v>0</v>
      </c>
      <c r="F19" s="193" t="s">
        <v>12</v>
      </c>
      <c r="G19" s="245" t="s">
        <v>1</v>
      </c>
      <c r="H19" s="194" t="s">
        <v>48</v>
      </c>
      <c r="I19" s="194" t="s">
        <v>46</v>
      </c>
      <c r="J19" s="195" t="str">
        <f>"True-Up Charge"</f>
        <v>True-Up Charge</v>
      </c>
      <c r="K19" s="195" t="s">
        <v>47</v>
      </c>
      <c r="L19" s="196" t="s">
        <v>3</v>
      </c>
      <c r="M19" s="197" t="s">
        <v>7</v>
      </c>
      <c r="N19" s="198" t="s">
        <v>98</v>
      </c>
      <c r="O19" s="198" t="s">
        <v>84</v>
      </c>
      <c r="P19" s="198" t="s">
        <v>85</v>
      </c>
      <c r="Q19" s="198" t="s">
        <v>86</v>
      </c>
      <c r="R19" s="199" t="s">
        <v>2</v>
      </c>
    </row>
    <row r="20" spans="1:18" s="52" customFormat="1" ht="12.75" customHeight="1" x14ac:dyDescent="0.2">
      <c r="A20" s="124">
        <v>1</v>
      </c>
      <c r="B20" s="200">
        <f>DATE($R$1,A20,1)</f>
        <v>44197</v>
      </c>
      <c r="C20" s="201">
        <v>44230</v>
      </c>
      <c r="D20" s="201">
        <v>44251</v>
      </c>
      <c r="E20" s="202" t="s">
        <v>21</v>
      </c>
      <c r="F20" s="124">
        <v>9</v>
      </c>
      <c r="G20" s="203">
        <v>2536</v>
      </c>
      <c r="H20" s="204">
        <f>+$K$3</f>
        <v>870.64</v>
      </c>
      <c r="I20" s="204">
        <f t="shared" ref="I20:I63" si="1">$J$3</f>
        <v>888.73</v>
      </c>
      <c r="J20" s="205">
        <f t="shared" ref="J20:J108" si="2">+$G20*I20</f>
        <v>2253819.2800000003</v>
      </c>
      <c r="K20" s="206">
        <f>+$G20*H20</f>
        <v>2207943.04</v>
      </c>
      <c r="L20" s="207">
        <f t="shared" ref="L20:L34" si="3">+J20-K20</f>
        <v>45876.240000000224</v>
      </c>
      <c r="M20" s="208">
        <f>G20/$G$212*$M$14</f>
        <v>1463.8084820489405</v>
      </c>
      <c r="N20" s="209">
        <f>SUM(L20:M20)</f>
        <v>47340.048482049162</v>
      </c>
      <c r="O20" s="208">
        <v>0</v>
      </c>
      <c r="P20" s="208">
        <v>0</v>
      </c>
      <c r="Q20" s="208">
        <v>0</v>
      </c>
      <c r="R20" s="209">
        <f>+N20-Q20</f>
        <v>47340.048482049162</v>
      </c>
    </row>
    <row r="21" spans="1:18" x14ac:dyDescent="0.2">
      <c r="A21" s="162">
        <v>2</v>
      </c>
      <c r="B21" s="200">
        <f t="shared" ref="B21:B108" si="4">DATE($R$1,A21,1)</f>
        <v>44228</v>
      </c>
      <c r="C21" s="201">
        <v>44258</v>
      </c>
      <c r="D21" s="201">
        <v>44279</v>
      </c>
      <c r="E21" s="210" t="s">
        <v>21</v>
      </c>
      <c r="F21" s="162">
        <v>9</v>
      </c>
      <c r="G21" s="203">
        <v>2976</v>
      </c>
      <c r="H21" s="204">
        <f t="shared" ref="H21:H84" si="5">+$K$3</f>
        <v>870.64</v>
      </c>
      <c r="I21" s="204">
        <f t="shared" si="1"/>
        <v>888.73</v>
      </c>
      <c r="J21" s="205">
        <f t="shared" si="2"/>
        <v>2644860.48</v>
      </c>
      <c r="K21" s="206">
        <f t="shared" ref="K21:K33" si="6">+$G21*H21</f>
        <v>2591024.64</v>
      </c>
      <c r="L21" s="207">
        <f t="shared" si="3"/>
        <v>53835.839999999851</v>
      </c>
      <c r="M21" s="208">
        <f t="shared" ref="M21:M84" si="7">G21/$G$212*$M$14</f>
        <v>1717.7815625306177</v>
      </c>
      <c r="N21" s="209">
        <f t="shared" ref="N21:N84" si="8">SUM(L21:M21)</f>
        <v>55553.621562530469</v>
      </c>
      <c r="O21" s="208">
        <v>0</v>
      </c>
      <c r="P21" s="208">
        <v>0</v>
      </c>
      <c r="Q21" s="208">
        <v>0</v>
      </c>
      <c r="R21" s="209">
        <f t="shared" ref="R21:R84" si="9">+N21-Q21</f>
        <v>55553.621562530469</v>
      </c>
    </row>
    <row r="22" spans="1:18" x14ac:dyDescent="0.2">
      <c r="A22" s="162">
        <v>3</v>
      </c>
      <c r="B22" s="200">
        <f t="shared" si="4"/>
        <v>44256</v>
      </c>
      <c r="C22" s="201">
        <v>44291</v>
      </c>
      <c r="D22" s="201">
        <v>44312</v>
      </c>
      <c r="E22" s="210" t="s">
        <v>21</v>
      </c>
      <c r="F22" s="162">
        <v>9</v>
      </c>
      <c r="G22" s="203">
        <v>2203</v>
      </c>
      <c r="H22" s="204">
        <f t="shared" si="5"/>
        <v>870.64</v>
      </c>
      <c r="I22" s="204">
        <f t="shared" si="1"/>
        <v>888.73</v>
      </c>
      <c r="J22" s="205">
        <f t="shared" si="2"/>
        <v>1957872.19</v>
      </c>
      <c r="K22" s="206">
        <f t="shared" si="6"/>
        <v>1918019.92</v>
      </c>
      <c r="L22" s="207">
        <f t="shared" si="3"/>
        <v>39852.270000000019</v>
      </c>
      <c r="M22" s="208">
        <f t="shared" si="7"/>
        <v>1271.5970370480347</v>
      </c>
      <c r="N22" s="209">
        <f t="shared" si="8"/>
        <v>41123.867037048054</v>
      </c>
      <c r="O22" s="208">
        <v>0</v>
      </c>
      <c r="P22" s="208">
        <v>0</v>
      </c>
      <c r="Q22" s="208">
        <v>0</v>
      </c>
      <c r="R22" s="209">
        <f t="shared" si="9"/>
        <v>41123.867037048054</v>
      </c>
    </row>
    <row r="23" spans="1:18" x14ac:dyDescent="0.2">
      <c r="A23" s="124">
        <v>4</v>
      </c>
      <c r="B23" s="200">
        <f t="shared" si="4"/>
        <v>44287</v>
      </c>
      <c r="C23" s="201">
        <v>44321</v>
      </c>
      <c r="D23" s="201">
        <v>44340</v>
      </c>
      <c r="E23" s="210" t="s">
        <v>21</v>
      </c>
      <c r="F23" s="162">
        <v>9</v>
      </c>
      <c r="G23" s="203">
        <v>2146</v>
      </c>
      <c r="H23" s="204">
        <f t="shared" si="5"/>
        <v>870.64</v>
      </c>
      <c r="I23" s="204">
        <f t="shared" si="1"/>
        <v>888.73</v>
      </c>
      <c r="J23" s="205">
        <f t="shared" si="2"/>
        <v>1907214.58</v>
      </c>
      <c r="K23" s="206">
        <f t="shared" si="6"/>
        <v>1868393.44</v>
      </c>
      <c r="L23" s="207">
        <f t="shared" si="3"/>
        <v>38821.14000000013</v>
      </c>
      <c r="M23" s="208">
        <f t="shared" si="7"/>
        <v>1238.6959788947265</v>
      </c>
      <c r="N23" s="209">
        <f t="shared" si="8"/>
        <v>40059.835978894858</v>
      </c>
      <c r="O23" s="208">
        <v>0</v>
      </c>
      <c r="P23" s="208">
        <v>0</v>
      </c>
      <c r="Q23" s="208">
        <v>0</v>
      </c>
      <c r="R23" s="209">
        <f t="shared" si="9"/>
        <v>40059.835978894858</v>
      </c>
    </row>
    <row r="24" spans="1:18" ht="12" customHeight="1" x14ac:dyDescent="0.2">
      <c r="A24" s="162">
        <v>5</v>
      </c>
      <c r="B24" s="200">
        <f t="shared" si="4"/>
        <v>44317</v>
      </c>
      <c r="C24" s="201">
        <v>44350</v>
      </c>
      <c r="D24" s="201">
        <v>44371</v>
      </c>
      <c r="E24" s="54" t="s">
        <v>21</v>
      </c>
      <c r="F24" s="162">
        <v>9</v>
      </c>
      <c r="G24" s="203">
        <v>2961</v>
      </c>
      <c r="H24" s="204">
        <f t="shared" si="5"/>
        <v>870.64</v>
      </c>
      <c r="I24" s="204">
        <f t="shared" si="1"/>
        <v>888.73</v>
      </c>
      <c r="J24" s="205">
        <f t="shared" si="2"/>
        <v>2631529.5300000003</v>
      </c>
      <c r="K24" s="206">
        <f t="shared" si="6"/>
        <v>2577965.04</v>
      </c>
      <c r="L24" s="207">
        <f t="shared" si="3"/>
        <v>53564.490000000224</v>
      </c>
      <c r="M24" s="208">
        <f t="shared" si="7"/>
        <v>1709.1233893323788</v>
      </c>
      <c r="N24" s="209">
        <f t="shared" si="8"/>
        <v>55273.613389332604</v>
      </c>
      <c r="O24" s="208">
        <v>0</v>
      </c>
      <c r="P24" s="208">
        <v>0</v>
      </c>
      <c r="Q24" s="208">
        <v>0</v>
      </c>
      <c r="R24" s="209">
        <f t="shared" si="9"/>
        <v>55273.613389332604</v>
      </c>
    </row>
    <row r="25" spans="1:18" x14ac:dyDescent="0.2">
      <c r="A25" s="162">
        <v>6</v>
      </c>
      <c r="B25" s="200">
        <f t="shared" si="4"/>
        <v>44348</v>
      </c>
      <c r="C25" s="201">
        <v>44383</v>
      </c>
      <c r="D25" s="201">
        <v>44401</v>
      </c>
      <c r="E25" s="54" t="s">
        <v>21</v>
      </c>
      <c r="F25" s="162">
        <v>9</v>
      </c>
      <c r="G25" s="203">
        <v>3827</v>
      </c>
      <c r="H25" s="204">
        <f t="shared" si="5"/>
        <v>870.64</v>
      </c>
      <c r="I25" s="204">
        <f t="shared" si="1"/>
        <v>888.73</v>
      </c>
      <c r="J25" s="205">
        <f t="shared" si="2"/>
        <v>3401169.71</v>
      </c>
      <c r="K25" s="206">
        <f t="shared" si="6"/>
        <v>3331939.28</v>
      </c>
      <c r="L25" s="211">
        <f t="shared" si="3"/>
        <v>69230.430000000168</v>
      </c>
      <c r="M25" s="208">
        <f t="shared" si="7"/>
        <v>2208.9885886440438</v>
      </c>
      <c r="N25" s="209">
        <f t="shared" si="8"/>
        <v>71439.418588644214</v>
      </c>
      <c r="O25" s="208">
        <v>0</v>
      </c>
      <c r="P25" s="208">
        <v>0</v>
      </c>
      <c r="Q25" s="208">
        <v>0</v>
      </c>
      <c r="R25" s="209">
        <f t="shared" si="9"/>
        <v>71439.418588644214</v>
      </c>
    </row>
    <row r="26" spans="1:18" x14ac:dyDescent="0.2">
      <c r="A26" s="124">
        <v>7</v>
      </c>
      <c r="B26" s="200">
        <f t="shared" si="4"/>
        <v>44378</v>
      </c>
      <c r="C26" s="201">
        <v>44412</v>
      </c>
      <c r="D26" s="201">
        <v>44432</v>
      </c>
      <c r="E26" s="54" t="s">
        <v>21</v>
      </c>
      <c r="F26" s="162">
        <v>9</v>
      </c>
      <c r="G26" s="203">
        <v>3938</v>
      </c>
      <c r="H26" s="204">
        <f t="shared" si="5"/>
        <v>870.64</v>
      </c>
      <c r="I26" s="204">
        <f t="shared" si="1"/>
        <v>888.73</v>
      </c>
      <c r="J26" s="205">
        <f t="shared" si="2"/>
        <v>3499818.74</v>
      </c>
      <c r="K26" s="212">
        <f t="shared" si="6"/>
        <v>3428580.32</v>
      </c>
      <c r="L26" s="211">
        <f t="shared" si="3"/>
        <v>71238.420000000391</v>
      </c>
      <c r="M26" s="208">
        <f t="shared" si="7"/>
        <v>2273.0590703110124</v>
      </c>
      <c r="N26" s="209">
        <f t="shared" si="8"/>
        <v>73511.479070311398</v>
      </c>
      <c r="O26" s="208">
        <v>0</v>
      </c>
      <c r="P26" s="208">
        <v>0</v>
      </c>
      <c r="Q26" s="208">
        <v>0</v>
      </c>
      <c r="R26" s="209">
        <f t="shared" si="9"/>
        <v>73511.479070311398</v>
      </c>
    </row>
    <row r="27" spans="1:18" x14ac:dyDescent="0.2">
      <c r="A27" s="162">
        <v>8</v>
      </c>
      <c r="B27" s="200">
        <f t="shared" si="4"/>
        <v>44409</v>
      </c>
      <c r="C27" s="201">
        <v>44442</v>
      </c>
      <c r="D27" s="201">
        <v>44463</v>
      </c>
      <c r="E27" s="54" t="s">
        <v>21</v>
      </c>
      <c r="F27" s="162">
        <v>9</v>
      </c>
      <c r="G27" s="203">
        <v>4002</v>
      </c>
      <c r="H27" s="204">
        <f t="shared" si="5"/>
        <v>870.64</v>
      </c>
      <c r="I27" s="204">
        <f t="shared" si="1"/>
        <v>888.73</v>
      </c>
      <c r="J27" s="205">
        <f t="shared" si="2"/>
        <v>3556697.46</v>
      </c>
      <c r="K27" s="212">
        <f t="shared" si="6"/>
        <v>3484301.28</v>
      </c>
      <c r="L27" s="211">
        <f t="shared" si="3"/>
        <v>72396.180000000168</v>
      </c>
      <c r="M27" s="208">
        <f t="shared" si="7"/>
        <v>2310.0006092901654</v>
      </c>
      <c r="N27" s="209">
        <f t="shared" si="8"/>
        <v>74706.180609290328</v>
      </c>
      <c r="O27" s="208">
        <v>0</v>
      </c>
      <c r="P27" s="208">
        <v>0</v>
      </c>
      <c r="Q27" s="208">
        <v>0</v>
      </c>
      <c r="R27" s="209">
        <f t="shared" si="9"/>
        <v>74706.180609290328</v>
      </c>
    </row>
    <row r="28" spans="1:18" x14ac:dyDescent="0.2">
      <c r="A28" s="162">
        <v>9</v>
      </c>
      <c r="B28" s="200">
        <f t="shared" si="4"/>
        <v>44440</v>
      </c>
      <c r="C28" s="201">
        <v>44474</v>
      </c>
      <c r="D28" s="201">
        <v>44494</v>
      </c>
      <c r="E28" s="54" t="s">
        <v>21</v>
      </c>
      <c r="F28" s="162">
        <v>9</v>
      </c>
      <c r="G28" s="203">
        <v>4029</v>
      </c>
      <c r="H28" s="204">
        <f t="shared" si="5"/>
        <v>870.64</v>
      </c>
      <c r="I28" s="204">
        <f t="shared" si="1"/>
        <v>888.73</v>
      </c>
      <c r="J28" s="205">
        <f t="shared" si="2"/>
        <v>3580693.17</v>
      </c>
      <c r="K28" s="212">
        <f t="shared" si="6"/>
        <v>3507808.56</v>
      </c>
      <c r="L28" s="211">
        <f t="shared" si="3"/>
        <v>72884.60999999987</v>
      </c>
      <c r="M28" s="208">
        <f t="shared" si="7"/>
        <v>2325.5853210469959</v>
      </c>
      <c r="N28" s="209">
        <f t="shared" si="8"/>
        <v>75210.195321046864</v>
      </c>
      <c r="O28" s="208">
        <v>0</v>
      </c>
      <c r="P28" s="208">
        <v>0</v>
      </c>
      <c r="Q28" s="208">
        <v>0</v>
      </c>
      <c r="R28" s="209">
        <f t="shared" si="9"/>
        <v>75210.195321046864</v>
      </c>
    </row>
    <row r="29" spans="1:18" x14ac:dyDescent="0.2">
      <c r="A29" s="124">
        <v>10</v>
      </c>
      <c r="B29" s="200">
        <f t="shared" si="4"/>
        <v>44470</v>
      </c>
      <c r="C29" s="201">
        <v>44503</v>
      </c>
      <c r="D29" s="201">
        <v>44524</v>
      </c>
      <c r="E29" s="54" t="s">
        <v>21</v>
      </c>
      <c r="F29" s="162">
        <v>9</v>
      </c>
      <c r="G29" s="203">
        <v>3123</v>
      </c>
      <c r="H29" s="204">
        <f t="shared" si="5"/>
        <v>870.64</v>
      </c>
      <c r="I29" s="204">
        <f t="shared" si="1"/>
        <v>888.73</v>
      </c>
      <c r="J29" s="205">
        <f t="shared" si="2"/>
        <v>2775503.79</v>
      </c>
      <c r="K29" s="212">
        <f t="shared" si="6"/>
        <v>2719008.7199999997</v>
      </c>
      <c r="L29" s="211">
        <f t="shared" si="3"/>
        <v>56495.070000000298</v>
      </c>
      <c r="M29" s="208">
        <f t="shared" si="7"/>
        <v>1802.6316598733601</v>
      </c>
      <c r="N29" s="209">
        <f t="shared" si="8"/>
        <v>58297.701659873659</v>
      </c>
      <c r="O29" s="208">
        <v>0</v>
      </c>
      <c r="P29" s="208">
        <v>0</v>
      </c>
      <c r="Q29" s="208">
        <v>0</v>
      </c>
      <c r="R29" s="209">
        <f t="shared" si="9"/>
        <v>58297.701659873659</v>
      </c>
    </row>
    <row r="30" spans="1:18" x14ac:dyDescent="0.2">
      <c r="A30" s="162">
        <v>11</v>
      </c>
      <c r="B30" s="200">
        <f t="shared" si="4"/>
        <v>44501</v>
      </c>
      <c r="C30" s="201">
        <v>44533</v>
      </c>
      <c r="D30" s="201">
        <v>44557</v>
      </c>
      <c r="E30" s="54" t="s">
        <v>21</v>
      </c>
      <c r="F30" s="162">
        <v>9</v>
      </c>
      <c r="G30" s="203">
        <v>2263</v>
      </c>
      <c r="H30" s="204">
        <f t="shared" si="5"/>
        <v>870.64</v>
      </c>
      <c r="I30" s="204">
        <f t="shared" si="1"/>
        <v>888.73</v>
      </c>
      <c r="J30" s="205">
        <f t="shared" si="2"/>
        <v>2011195.99</v>
      </c>
      <c r="K30" s="212">
        <f t="shared" si="6"/>
        <v>1970258.32</v>
      </c>
      <c r="L30" s="211">
        <f t="shared" si="3"/>
        <v>40937.669999999925</v>
      </c>
      <c r="M30" s="208">
        <f t="shared" si="7"/>
        <v>1306.2297298409908</v>
      </c>
      <c r="N30" s="209">
        <f t="shared" si="8"/>
        <v>42243.899729840916</v>
      </c>
      <c r="O30" s="208">
        <v>0</v>
      </c>
      <c r="P30" s="208">
        <v>0</v>
      </c>
      <c r="Q30" s="208">
        <v>0</v>
      </c>
      <c r="R30" s="209">
        <f t="shared" si="9"/>
        <v>42243.899729840916</v>
      </c>
    </row>
    <row r="31" spans="1:18" x14ac:dyDescent="0.2">
      <c r="A31" s="162">
        <v>12</v>
      </c>
      <c r="B31" s="200">
        <f t="shared" si="4"/>
        <v>44531</v>
      </c>
      <c r="C31" s="213">
        <v>44566</v>
      </c>
      <c r="D31" s="214">
        <v>44585</v>
      </c>
      <c r="E31" s="54" t="s">
        <v>21</v>
      </c>
      <c r="F31" s="162">
        <v>9</v>
      </c>
      <c r="G31" s="215">
        <v>2379</v>
      </c>
      <c r="H31" s="216">
        <f t="shared" si="5"/>
        <v>870.64</v>
      </c>
      <c r="I31" s="216">
        <f t="shared" si="1"/>
        <v>888.73</v>
      </c>
      <c r="J31" s="217">
        <f t="shared" si="2"/>
        <v>2114288.67</v>
      </c>
      <c r="K31" s="218">
        <f t="shared" si="6"/>
        <v>2071252.56</v>
      </c>
      <c r="L31" s="219">
        <f t="shared" si="3"/>
        <v>43036.10999999987</v>
      </c>
      <c r="M31" s="208">
        <f t="shared" si="7"/>
        <v>1373.1862692407055</v>
      </c>
      <c r="N31" s="209">
        <f t="shared" si="8"/>
        <v>44409.296269240578</v>
      </c>
      <c r="O31" s="208">
        <v>0</v>
      </c>
      <c r="P31" s="208">
        <v>0</v>
      </c>
      <c r="Q31" s="208">
        <v>0</v>
      </c>
      <c r="R31" s="209">
        <f t="shared" si="9"/>
        <v>44409.296269240578</v>
      </c>
    </row>
    <row r="32" spans="1:18" x14ac:dyDescent="0.2">
      <c r="A32" s="124">
        <v>1</v>
      </c>
      <c r="B32" s="220">
        <f t="shared" si="4"/>
        <v>44197</v>
      </c>
      <c r="C32" s="221">
        <f t="shared" ref="C32:D43" si="10">+C20</f>
        <v>44230</v>
      </c>
      <c r="D32" s="221">
        <f t="shared" si="10"/>
        <v>44251</v>
      </c>
      <c r="E32" s="222" t="s">
        <v>22</v>
      </c>
      <c r="F32" s="223">
        <v>9</v>
      </c>
      <c r="G32" s="203">
        <v>2771</v>
      </c>
      <c r="H32" s="204">
        <f t="shared" si="5"/>
        <v>870.64</v>
      </c>
      <c r="I32" s="204">
        <f t="shared" si="1"/>
        <v>888.73</v>
      </c>
      <c r="J32" s="205">
        <f t="shared" si="2"/>
        <v>2462670.83</v>
      </c>
      <c r="K32" s="206">
        <f t="shared" si="6"/>
        <v>2412543.44</v>
      </c>
      <c r="L32" s="207">
        <f t="shared" si="3"/>
        <v>50127.39000000013</v>
      </c>
      <c r="M32" s="208">
        <f t="shared" si="7"/>
        <v>1599.4531954880181</v>
      </c>
      <c r="N32" s="209">
        <f t="shared" si="8"/>
        <v>51726.843195488145</v>
      </c>
      <c r="O32" s="208">
        <v>0</v>
      </c>
      <c r="P32" s="208">
        <v>0</v>
      </c>
      <c r="Q32" s="208">
        <v>0</v>
      </c>
      <c r="R32" s="209">
        <f t="shared" si="9"/>
        <v>51726.843195488145</v>
      </c>
    </row>
    <row r="33" spans="1:18" x14ac:dyDescent="0.2">
      <c r="A33" s="162">
        <v>2</v>
      </c>
      <c r="B33" s="200">
        <f t="shared" si="4"/>
        <v>44228</v>
      </c>
      <c r="C33" s="224">
        <f t="shared" si="10"/>
        <v>44258</v>
      </c>
      <c r="D33" s="224">
        <f t="shared" si="10"/>
        <v>44279</v>
      </c>
      <c r="E33" s="210" t="s">
        <v>22</v>
      </c>
      <c r="F33" s="162">
        <v>9</v>
      </c>
      <c r="G33" s="203">
        <v>3136</v>
      </c>
      <c r="H33" s="204">
        <f t="shared" si="5"/>
        <v>870.64</v>
      </c>
      <c r="I33" s="204">
        <f t="shared" si="1"/>
        <v>888.73</v>
      </c>
      <c r="J33" s="205">
        <f t="shared" si="2"/>
        <v>2787057.2800000003</v>
      </c>
      <c r="K33" s="206">
        <f t="shared" si="6"/>
        <v>2730327.04</v>
      </c>
      <c r="L33" s="207">
        <f t="shared" si="3"/>
        <v>56730.240000000224</v>
      </c>
      <c r="M33" s="208">
        <f t="shared" si="7"/>
        <v>1810.1354099785008</v>
      </c>
      <c r="N33" s="209">
        <f t="shared" si="8"/>
        <v>58540.375409978726</v>
      </c>
      <c r="O33" s="208">
        <v>0</v>
      </c>
      <c r="P33" s="208">
        <v>0</v>
      </c>
      <c r="Q33" s="208">
        <v>0</v>
      </c>
      <c r="R33" s="209">
        <f t="shared" si="9"/>
        <v>58540.375409978726</v>
      </c>
    </row>
    <row r="34" spans="1:18" x14ac:dyDescent="0.2">
      <c r="A34" s="162">
        <v>3</v>
      </c>
      <c r="B34" s="200">
        <f t="shared" si="4"/>
        <v>44256</v>
      </c>
      <c r="C34" s="224">
        <f t="shared" si="10"/>
        <v>44291</v>
      </c>
      <c r="D34" s="224">
        <f t="shared" si="10"/>
        <v>44312</v>
      </c>
      <c r="E34" s="210" t="s">
        <v>22</v>
      </c>
      <c r="F34" s="162">
        <v>9</v>
      </c>
      <c r="G34" s="203">
        <v>2339</v>
      </c>
      <c r="H34" s="204">
        <f t="shared" si="5"/>
        <v>870.64</v>
      </c>
      <c r="I34" s="204">
        <f t="shared" si="1"/>
        <v>888.73</v>
      </c>
      <c r="J34" s="205">
        <f t="shared" si="2"/>
        <v>2078739.47</v>
      </c>
      <c r="K34" s="206">
        <f t="shared" ref="K34:K93" si="11">+$G34*H34</f>
        <v>2036426.96</v>
      </c>
      <c r="L34" s="207">
        <f t="shared" si="3"/>
        <v>42312.510000000009</v>
      </c>
      <c r="M34" s="208">
        <f t="shared" si="7"/>
        <v>1350.0978073787348</v>
      </c>
      <c r="N34" s="209">
        <f t="shared" si="8"/>
        <v>43662.607807378743</v>
      </c>
      <c r="O34" s="208">
        <v>0</v>
      </c>
      <c r="P34" s="208">
        <v>0</v>
      </c>
      <c r="Q34" s="208">
        <v>0</v>
      </c>
      <c r="R34" s="209">
        <f t="shared" si="9"/>
        <v>43662.607807378743</v>
      </c>
    </row>
    <row r="35" spans="1:18" x14ac:dyDescent="0.2">
      <c r="A35" s="124">
        <v>4</v>
      </c>
      <c r="B35" s="200">
        <f t="shared" si="4"/>
        <v>44287</v>
      </c>
      <c r="C35" s="224">
        <f t="shared" si="10"/>
        <v>44321</v>
      </c>
      <c r="D35" s="224">
        <f t="shared" si="10"/>
        <v>44340</v>
      </c>
      <c r="E35" s="210" t="s">
        <v>22</v>
      </c>
      <c r="F35" s="162">
        <v>9</v>
      </c>
      <c r="G35" s="203">
        <v>2394</v>
      </c>
      <c r="H35" s="204">
        <f t="shared" si="5"/>
        <v>870.64</v>
      </c>
      <c r="I35" s="204">
        <f t="shared" si="1"/>
        <v>888.73</v>
      </c>
      <c r="J35" s="205">
        <f t="shared" si="2"/>
        <v>2127619.62</v>
      </c>
      <c r="K35" s="206">
        <f t="shared" si="11"/>
        <v>2084312.16</v>
      </c>
      <c r="L35" s="207">
        <f t="shared" ref="L35:L57" si="12">+J35-K35</f>
        <v>43307.460000000196</v>
      </c>
      <c r="M35" s="208">
        <f t="shared" si="7"/>
        <v>1381.8444424389445</v>
      </c>
      <c r="N35" s="209">
        <f t="shared" si="8"/>
        <v>44689.304442439141</v>
      </c>
      <c r="O35" s="208">
        <v>0</v>
      </c>
      <c r="P35" s="208">
        <v>0</v>
      </c>
      <c r="Q35" s="208">
        <v>0</v>
      </c>
      <c r="R35" s="209">
        <f t="shared" si="9"/>
        <v>44689.304442439141</v>
      </c>
    </row>
    <row r="36" spans="1:18" x14ac:dyDescent="0.2">
      <c r="A36" s="162">
        <v>5</v>
      </c>
      <c r="B36" s="200">
        <f t="shared" si="4"/>
        <v>44317</v>
      </c>
      <c r="C36" s="224">
        <f t="shared" si="10"/>
        <v>44350</v>
      </c>
      <c r="D36" s="224">
        <f t="shared" si="10"/>
        <v>44371</v>
      </c>
      <c r="E36" s="54" t="s">
        <v>22</v>
      </c>
      <c r="F36" s="162">
        <v>9</v>
      </c>
      <c r="G36" s="203">
        <v>2807</v>
      </c>
      <c r="H36" s="204">
        <f t="shared" si="5"/>
        <v>870.64</v>
      </c>
      <c r="I36" s="204">
        <f t="shared" si="1"/>
        <v>888.73</v>
      </c>
      <c r="J36" s="205">
        <f t="shared" si="2"/>
        <v>2494665.11</v>
      </c>
      <c r="K36" s="206">
        <f t="shared" si="11"/>
        <v>2443886.48</v>
      </c>
      <c r="L36" s="207">
        <f t="shared" si="12"/>
        <v>50778.629999999888</v>
      </c>
      <c r="M36" s="208">
        <f t="shared" si="7"/>
        <v>1620.2328111637917</v>
      </c>
      <c r="N36" s="209">
        <f t="shared" si="8"/>
        <v>52398.862811163679</v>
      </c>
      <c r="O36" s="208">
        <v>0</v>
      </c>
      <c r="P36" s="208">
        <v>0</v>
      </c>
      <c r="Q36" s="208">
        <v>0</v>
      </c>
      <c r="R36" s="209">
        <f t="shared" si="9"/>
        <v>52398.862811163679</v>
      </c>
    </row>
    <row r="37" spans="1:18" x14ac:dyDescent="0.2">
      <c r="A37" s="162">
        <v>6</v>
      </c>
      <c r="B37" s="200">
        <f t="shared" si="4"/>
        <v>44348</v>
      </c>
      <c r="C37" s="224">
        <f t="shared" si="10"/>
        <v>44383</v>
      </c>
      <c r="D37" s="224">
        <f t="shared" si="10"/>
        <v>44401</v>
      </c>
      <c r="E37" s="54" t="s">
        <v>22</v>
      </c>
      <c r="F37" s="162">
        <v>9</v>
      </c>
      <c r="G37" s="203">
        <v>3345</v>
      </c>
      <c r="H37" s="204">
        <f t="shared" si="5"/>
        <v>870.64</v>
      </c>
      <c r="I37" s="204">
        <f t="shared" si="1"/>
        <v>888.73</v>
      </c>
      <c r="J37" s="205">
        <f t="shared" si="2"/>
        <v>2972801.85</v>
      </c>
      <c r="K37" s="206">
        <f t="shared" si="11"/>
        <v>2912290.8</v>
      </c>
      <c r="L37" s="211">
        <f t="shared" si="12"/>
        <v>60511.050000000279</v>
      </c>
      <c r="M37" s="208">
        <f t="shared" si="7"/>
        <v>1930.7726232072973</v>
      </c>
      <c r="N37" s="209">
        <f t="shared" si="8"/>
        <v>62441.822623207576</v>
      </c>
      <c r="O37" s="208">
        <v>0</v>
      </c>
      <c r="P37" s="208">
        <v>0</v>
      </c>
      <c r="Q37" s="208">
        <v>0</v>
      </c>
      <c r="R37" s="209">
        <f t="shared" si="9"/>
        <v>62441.822623207576</v>
      </c>
    </row>
    <row r="38" spans="1:18" x14ac:dyDescent="0.2">
      <c r="A38" s="124">
        <v>7</v>
      </c>
      <c r="B38" s="200">
        <f t="shared" si="4"/>
        <v>44378</v>
      </c>
      <c r="C38" s="224">
        <f t="shared" si="10"/>
        <v>44412</v>
      </c>
      <c r="D38" s="224">
        <f t="shared" si="10"/>
        <v>44432</v>
      </c>
      <c r="E38" s="54" t="s">
        <v>22</v>
      </c>
      <c r="F38" s="162">
        <v>9</v>
      </c>
      <c r="G38" s="203">
        <v>3525</v>
      </c>
      <c r="H38" s="204">
        <f t="shared" si="5"/>
        <v>870.64</v>
      </c>
      <c r="I38" s="204">
        <f t="shared" si="1"/>
        <v>888.73</v>
      </c>
      <c r="J38" s="205">
        <f t="shared" si="2"/>
        <v>3132773.25</v>
      </c>
      <c r="K38" s="212">
        <f t="shared" si="11"/>
        <v>3069006</v>
      </c>
      <c r="L38" s="211">
        <f t="shared" si="12"/>
        <v>63767.25</v>
      </c>
      <c r="M38" s="208">
        <f t="shared" si="7"/>
        <v>2034.6707015861653</v>
      </c>
      <c r="N38" s="209">
        <f t="shared" si="8"/>
        <v>65801.920701586161</v>
      </c>
      <c r="O38" s="208">
        <v>0</v>
      </c>
      <c r="P38" s="208">
        <v>0</v>
      </c>
      <c r="Q38" s="208">
        <v>0</v>
      </c>
      <c r="R38" s="209">
        <f t="shared" si="9"/>
        <v>65801.920701586161</v>
      </c>
    </row>
    <row r="39" spans="1:18" x14ac:dyDescent="0.2">
      <c r="A39" s="162">
        <v>8</v>
      </c>
      <c r="B39" s="200">
        <f t="shared" si="4"/>
        <v>44409</v>
      </c>
      <c r="C39" s="224">
        <f t="shared" si="10"/>
        <v>44442</v>
      </c>
      <c r="D39" s="224">
        <f t="shared" si="10"/>
        <v>44463</v>
      </c>
      <c r="E39" s="54" t="s">
        <v>22</v>
      </c>
      <c r="F39" s="162">
        <v>9</v>
      </c>
      <c r="G39" s="203">
        <v>3514</v>
      </c>
      <c r="H39" s="204">
        <f t="shared" si="5"/>
        <v>870.64</v>
      </c>
      <c r="I39" s="204">
        <f t="shared" si="1"/>
        <v>888.73</v>
      </c>
      <c r="J39" s="205">
        <f t="shared" si="2"/>
        <v>3122997.22</v>
      </c>
      <c r="K39" s="212">
        <f t="shared" si="11"/>
        <v>3059428.96</v>
      </c>
      <c r="L39" s="211">
        <f t="shared" si="12"/>
        <v>63568.260000000242</v>
      </c>
      <c r="M39" s="208">
        <f t="shared" si="7"/>
        <v>2028.3213745741232</v>
      </c>
      <c r="N39" s="209">
        <f t="shared" si="8"/>
        <v>65596.581374574365</v>
      </c>
      <c r="O39" s="208">
        <v>0</v>
      </c>
      <c r="P39" s="208">
        <v>0</v>
      </c>
      <c r="Q39" s="208">
        <v>0</v>
      </c>
      <c r="R39" s="209">
        <f t="shared" si="9"/>
        <v>65596.581374574365</v>
      </c>
    </row>
    <row r="40" spans="1:18" x14ac:dyDescent="0.2">
      <c r="A40" s="162">
        <v>9</v>
      </c>
      <c r="B40" s="200">
        <f t="shared" si="4"/>
        <v>44440</v>
      </c>
      <c r="C40" s="224">
        <f t="shared" si="10"/>
        <v>44474</v>
      </c>
      <c r="D40" s="224">
        <f t="shared" si="10"/>
        <v>44494</v>
      </c>
      <c r="E40" s="54" t="s">
        <v>22</v>
      </c>
      <c r="F40" s="162">
        <v>9</v>
      </c>
      <c r="G40" s="203">
        <v>3486</v>
      </c>
      <c r="H40" s="204">
        <f t="shared" si="5"/>
        <v>870.64</v>
      </c>
      <c r="I40" s="204">
        <f t="shared" si="1"/>
        <v>888.73</v>
      </c>
      <c r="J40" s="205">
        <f t="shared" si="2"/>
        <v>3098112.7800000003</v>
      </c>
      <c r="K40" s="212">
        <f t="shared" si="11"/>
        <v>3035051.04</v>
      </c>
      <c r="L40" s="211">
        <f t="shared" si="12"/>
        <v>63061.740000000224</v>
      </c>
      <c r="M40" s="208">
        <f t="shared" si="7"/>
        <v>2012.1594512707441</v>
      </c>
      <c r="N40" s="209">
        <f t="shared" si="8"/>
        <v>65073.899451270969</v>
      </c>
      <c r="O40" s="208">
        <v>0</v>
      </c>
      <c r="P40" s="208">
        <v>0</v>
      </c>
      <c r="Q40" s="208">
        <v>0</v>
      </c>
      <c r="R40" s="209">
        <f t="shared" si="9"/>
        <v>65073.899451270969</v>
      </c>
    </row>
    <row r="41" spans="1:18" x14ac:dyDescent="0.2">
      <c r="A41" s="124">
        <v>10</v>
      </c>
      <c r="B41" s="200">
        <f t="shared" si="4"/>
        <v>44470</v>
      </c>
      <c r="C41" s="224">
        <f t="shared" si="10"/>
        <v>44503</v>
      </c>
      <c r="D41" s="224">
        <f t="shared" si="10"/>
        <v>44524</v>
      </c>
      <c r="E41" s="54" t="s">
        <v>22</v>
      </c>
      <c r="F41" s="162">
        <v>9</v>
      </c>
      <c r="G41" s="203">
        <v>2777</v>
      </c>
      <c r="H41" s="204">
        <f t="shared" si="5"/>
        <v>870.64</v>
      </c>
      <c r="I41" s="204">
        <f t="shared" si="1"/>
        <v>888.73</v>
      </c>
      <c r="J41" s="205">
        <f t="shared" si="2"/>
        <v>2468003.21</v>
      </c>
      <c r="K41" s="212">
        <f t="shared" si="11"/>
        <v>2417767.2799999998</v>
      </c>
      <c r="L41" s="211">
        <f t="shared" si="12"/>
        <v>50235.930000000168</v>
      </c>
      <c r="M41" s="208">
        <f t="shared" si="7"/>
        <v>1602.9164647673138</v>
      </c>
      <c r="N41" s="209">
        <f t="shared" si="8"/>
        <v>51838.846464767485</v>
      </c>
      <c r="O41" s="208">
        <v>0</v>
      </c>
      <c r="P41" s="208">
        <v>0</v>
      </c>
      <c r="Q41" s="208">
        <v>0</v>
      </c>
      <c r="R41" s="209">
        <f t="shared" si="9"/>
        <v>51838.846464767485</v>
      </c>
    </row>
    <row r="42" spans="1:18" x14ac:dyDescent="0.2">
      <c r="A42" s="162">
        <v>11</v>
      </c>
      <c r="B42" s="200">
        <f t="shared" si="4"/>
        <v>44501</v>
      </c>
      <c r="C42" s="224">
        <f t="shared" si="10"/>
        <v>44533</v>
      </c>
      <c r="D42" s="224">
        <f t="shared" si="10"/>
        <v>44557</v>
      </c>
      <c r="E42" s="54" t="s">
        <v>22</v>
      </c>
      <c r="F42" s="162">
        <v>9</v>
      </c>
      <c r="G42" s="203">
        <v>2284</v>
      </c>
      <c r="H42" s="204">
        <f t="shared" si="5"/>
        <v>870.64</v>
      </c>
      <c r="I42" s="204">
        <f t="shared" si="1"/>
        <v>888.73</v>
      </c>
      <c r="J42" s="205">
        <f t="shared" si="2"/>
        <v>2029859.32</v>
      </c>
      <c r="K42" s="212">
        <f t="shared" si="11"/>
        <v>1988541.76</v>
      </c>
      <c r="L42" s="211">
        <f t="shared" si="12"/>
        <v>41317.560000000056</v>
      </c>
      <c r="M42" s="208">
        <f t="shared" si="7"/>
        <v>1318.3511723185252</v>
      </c>
      <c r="N42" s="209">
        <f t="shared" si="8"/>
        <v>42635.911172318578</v>
      </c>
      <c r="O42" s="208">
        <v>0</v>
      </c>
      <c r="P42" s="208">
        <v>0</v>
      </c>
      <c r="Q42" s="208">
        <v>0</v>
      </c>
      <c r="R42" s="209">
        <f t="shared" si="9"/>
        <v>42635.911172318578</v>
      </c>
    </row>
    <row r="43" spans="1:18" x14ac:dyDescent="0.2">
      <c r="A43" s="162">
        <v>12</v>
      </c>
      <c r="B43" s="200">
        <f t="shared" si="4"/>
        <v>44531</v>
      </c>
      <c r="C43" s="224">
        <f t="shared" si="10"/>
        <v>44566</v>
      </c>
      <c r="D43" s="224">
        <f t="shared" si="10"/>
        <v>44585</v>
      </c>
      <c r="E43" s="54" t="s">
        <v>22</v>
      </c>
      <c r="F43" s="162">
        <v>9</v>
      </c>
      <c r="G43" s="215">
        <v>2425</v>
      </c>
      <c r="H43" s="216">
        <f t="shared" si="5"/>
        <v>870.64</v>
      </c>
      <c r="I43" s="216">
        <f t="shared" si="1"/>
        <v>888.73</v>
      </c>
      <c r="J43" s="217">
        <f t="shared" si="2"/>
        <v>2155170.25</v>
      </c>
      <c r="K43" s="218">
        <f t="shared" si="11"/>
        <v>2111302</v>
      </c>
      <c r="L43" s="219">
        <f t="shared" si="12"/>
        <v>43868.25</v>
      </c>
      <c r="M43" s="208">
        <f t="shared" si="7"/>
        <v>1399.7380003819719</v>
      </c>
      <c r="N43" s="209">
        <f t="shared" si="8"/>
        <v>45267.988000381971</v>
      </c>
      <c r="O43" s="208">
        <v>0</v>
      </c>
      <c r="P43" s="208">
        <v>0</v>
      </c>
      <c r="Q43" s="208">
        <v>0</v>
      </c>
      <c r="R43" s="209">
        <f t="shared" si="9"/>
        <v>45267.988000381971</v>
      </c>
    </row>
    <row r="44" spans="1:18" x14ac:dyDescent="0.2">
      <c r="A44" s="124">
        <v>1</v>
      </c>
      <c r="B44" s="220">
        <f t="shared" ref="B44:B55" si="13">DATE($R$1,A44,1)</f>
        <v>44197</v>
      </c>
      <c r="C44" s="221">
        <f t="shared" ref="C44:D55" si="14">+C32</f>
        <v>44230</v>
      </c>
      <c r="D44" s="221">
        <f t="shared" si="14"/>
        <v>44251</v>
      </c>
      <c r="E44" s="222" t="s">
        <v>81</v>
      </c>
      <c r="F44" s="223">
        <v>9</v>
      </c>
      <c r="G44" s="203">
        <v>146</v>
      </c>
      <c r="H44" s="204">
        <f t="shared" si="5"/>
        <v>870.64</v>
      </c>
      <c r="I44" s="204">
        <f t="shared" si="1"/>
        <v>888.73</v>
      </c>
      <c r="J44" s="208">
        <f t="shared" ref="J44:J55" si="15">+$G44*I44</f>
        <v>129754.58</v>
      </c>
      <c r="K44" s="212">
        <f t="shared" ref="K44:K55" si="16">+$G44*H44</f>
        <v>127113.44</v>
      </c>
      <c r="L44" s="211">
        <f t="shared" ref="L44:L55" si="17">+J44-K44</f>
        <v>2641.1399999999994</v>
      </c>
      <c r="M44" s="208">
        <f t="shared" si="7"/>
        <v>84.272885796192952</v>
      </c>
      <c r="N44" s="209">
        <f t="shared" si="8"/>
        <v>2725.4128857961923</v>
      </c>
      <c r="O44" s="208">
        <v>0</v>
      </c>
      <c r="P44" s="208">
        <v>0</v>
      </c>
      <c r="Q44" s="208">
        <v>0</v>
      </c>
      <c r="R44" s="209">
        <f t="shared" si="9"/>
        <v>2725.4128857961923</v>
      </c>
    </row>
    <row r="45" spans="1:18" x14ac:dyDescent="0.2">
      <c r="A45" s="162">
        <v>2</v>
      </c>
      <c r="B45" s="200">
        <f t="shared" si="13"/>
        <v>44228</v>
      </c>
      <c r="C45" s="224">
        <f t="shared" si="14"/>
        <v>44258</v>
      </c>
      <c r="D45" s="224">
        <f t="shared" si="14"/>
        <v>44279</v>
      </c>
      <c r="E45" s="210" t="s">
        <v>81</v>
      </c>
      <c r="F45" s="162">
        <v>9</v>
      </c>
      <c r="G45" s="203">
        <v>212</v>
      </c>
      <c r="H45" s="204">
        <f t="shared" si="5"/>
        <v>870.64</v>
      </c>
      <c r="I45" s="204">
        <f t="shared" si="1"/>
        <v>888.73</v>
      </c>
      <c r="J45" s="208">
        <f t="shared" si="15"/>
        <v>188410.76</v>
      </c>
      <c r="K45" s="212">
        <f t="shared" si="16"/>
        <v>184575.68</v>
      </c>
      <c r="L45" s="211">
        <f t="shared" si="17"/>
        <v>3835.0800000000163</v>
      </c>
      <c r="M45" s="208">
        <f t="shared" si="7"/>
        <v>122.36884786844456</v>
      </c>
      <c r="N45" s="209">
        <f t="shared" si="8"/>
        <v>3957.4488478684607</v>
      </c>
      <c r="O45" s="208">
        <v>0</v>
      </c>
      <c r="P45" s="208">
        <v>0</v>
      </c>
      <c r="Q45" s="208">
        <v>0</v>
      </c>
      <c r="R45" s="209">
        <f t="shared" si="9"/>
        <v>3957.4488478684607</v>
      </c>
    </row>
    <row r="46" spans="1:18" x14ac:dyDescent="0.2">
      <c r="A46" s="162">
        <v>3</v>
      </c>
      <c r="B46" s="200">
        <f t="shared" si="13"/>
        <v>44256</v>
      </c>
      <c r="C46" s="224">
        <f t="shared" si="14"/>
        <v>44291</v>
      </c>
      <c r="D46" s="224">
        <f t="shared" si="14"/>
        <v>44312</v>
      </c>
      <c r="E46" s="210" t="s">
        <v>81</v>
      </c>
      <c r="F46" s="162">
        <v>9</v>
      </c>
      <c r="G46" s="203">
        <v>125</v>
      </c>
      <c r="H46" s="204">
        <f t="shared" si="5"/>
        <v>870.64</v>
      </c>
      <c r="I46" s="204">
        <f t="shared" si="1"/>
        <v>888.73</v>
      </c>
      <c r="J46" s="208">
        <f t="shared" si="15"/>
        <v>111091.25</v>
      </c>
      <c r="K46" s="212">
        <f t="shared" si="16"/>
        <v>108830</v>
      </c>
      <c r="L46" s="211">
        <f t="shared" si="17"/>
        <v>2261.25</v>
      </c>
      <c r="M46" s="208">
        <f t="shared" si="7"/>
        <v>72.151443318658337</v>
      </c>
      <c r="N46" s="209">
        <f t="shared" si="8"/>
        <v>2333.4014433186585</v>
      </c>
      <c r="O46" s="208">
        <v>0</v>
      </c>
      <c r="P46" s="208">
        <v>0</v>
      </c>
      <c r="Q46" s="208">
        <v>0</v>
      </c>
      <c r="R46" s="209">
        <f t="shared" si="9"/>
        <v>2333.4014433186585</v>
      </c>
    </row>
    <row r="47" spans="1:18" x14ac:dyDescent="0.2">
      <c r="A47" s="124">
        <v>4</v>
      </c>
      <c r="B47" s="200">
        <f t="shared" si="13"/>
        <v>44287</v>
      </c>
      <c r="C47" s="224">
        <f t="shared" si="14"/>
        <v>44321</v>
      </c>
      <c r="D47" s="224">
        <f t="shared" si="14"/>
        <v>44340</v>
      </c>
      <c r="E47" s="210" t="s">
        <v>81</v>
      </c>
      <c r="F47" s="162">
        <v>9</v>
      </c>
      <c r="G47" s="203">
        <v>92</v>
      </c>
      <c r="H47" s="204">
        <f t="shared" si="5"/>
        <v>870.64</v>
      </c>
      <c r="I47" s="204">
        <f t="shared" si="1"/>
        <v>888.73</v>
      </c>
      <c r="J47" s="208">
        <f t="shared" si="15"/>
        <v>81763.16</v>
      </c>
      <c r="K47" s="212">
        <f t="shared" si="16"/>
        <v>80098.880000000005</v>
      </c>
      <c r="L47" s="211">
        <f t="shared" si="17"/>
        <v>1664.2799999999988</v>
      </c>
      <c r="M47" s="208">
        <f t="shared" si="7"/>
        <v>53.10346228253254</v>
      </c>
      <c r="N47" s="209">
        <f t="shared" si="8"/>
        <v>1717.3834622825314</v>
      </c>
      <c r="O47" s="208">
        <v>0</v>
      </c>
      <c r="P47" s="208">
        <v>0</v>
      </c>
      <c r="Q47" s="208">
        <v>0</v>
      </c>
      <c r="R47" s="209">
        <f t="shared" si="9"/>
        <v>1717.3834622825314</v>
      </c>
    </row>
    <row r="48" spans="1:18" x14ac:dyDescent="0.2">
      <c r="A48" s="162">
        <v>5</v>
      </c>
      <c r="B48" s="200">
        <f t="shared" si="13"/>
        <v>44317</v>
      </c>
      <c r="C48" s="224">
        <f t="shared" si="14"/>
        <v>44350</v>
      </c>
      <c r="D48" s="224">
        <f t="shared" si="14"/>
        <v>44371</v>
      </c>
      <c r="E48" s="210" t="s">
        <v>81</v>
      </c>
      <c r="F48" s="162">
        <v>9</v>
      </c>
      <c r="G48" s="203">
        <v>102</v>
      </c>
      <c r="H48" s="204">
        <f t="shared" si="5"/>
        <v>870.64</v>
      </c>
      <c r="I48" s="204">
        <f t="shared" si="1"/>
        <v>888.73</v>
      </c>
      <c r="J48" s="208">
        <f t="shared" si="15"/>
        <v>90650.46</v>
      </c>
      <c r="K48" s="212">
        <f t="shared" si="16"/>
        <v>88805.28</v>
      </c>
      <c r="L48" s="211">
        <f t="shared" si="17"/>
        <v>1845.1800000000076</v>
      </c>
      <c r="M48" s="208">
        <f t="shared" si="7"/>
        <v>58.875577748025215</v>
      </c>
      <c r="N48" s="209">
        <f t="shared" si="8"/>
        <v>1904.0555777480329</v>
      </c>
      <c r="O48" s="208">
        <v>0</v>
      </c>
      <c r="P48" s="208">
        <v>0</v>
      </c>
      <c r="Q48" s="208">
        <v>0</v>
      </c>
      <c r="R48" s="209">
        <f t="shared" si="9"/>
        <v>1904.0555777480329</v>
      </c>
    </row>
    <row r="49" spans="1:18" x14ac:dyDescent="0.2">
      <c r="A49" s="162">
        <v>6</v>
      </c>
      <c r="B49" s="200">
        <f t="shared" si="13"/>
        <v>44348</v>
      </c>
      <c r="C49" s="224">
        <f t="shared" si="14"/>
        <v>44383</v>
      </c>
      <c r="D49" s="224">
        <f t="shared" si="14"/>
        <v>44401</v>
      </c>
      <c r="E49" s="210" t="s">
        <v>81</v>
      </c>
      <c r="F49" s="162">
        <v>9</v>
      </c>
      <c r="G49" s="203">
        <v>124</v>
      </c>
      <c r="H49" s="204">
        <f t="shared" si="5"/>
        <v>870.64</v>
      </c>
      <c r="I49" s="204">
        <f t="shared" si="1"/>
        <v>888.73</v>
      </c>
      <c r="J49" s="208">
        <f t="shared" si="15"/>
        <v>110202.52</v>
      </c>
      <c r="K49" s="212">
        <f t="shared" si="16"/>
        <v>107959.36</v>
      </c>
      <c r="L49" s="211">
        <f t="shared" si="17"/>
        <v>2243.1600000000035</v>
      </c>
      <c r="M49" s="208">
        <f t="shared" si="7"/>
        <v>71.574231772109073</v>
      </c>
      <c r="N49" s="209">
        <f t="shared" si="8"/>
        <v>2314.7342317721127</v>
      </c>
      <c r="O49" s="208">
        <v>0</v>
      </c>
      <c r="P49" s="208">
        <v>0</v>
      </c>
      <c r="Q49" s="208">
        <v>0</v>
      </c>
      <c r="R49" s="209">
        <f t="shared" si="9"/>
        <v>2314.7342317721127</v>
      </c>
    </row>
    <row r="50" spans="1:18" x14ac:dyDescent="0.2">
      <c r="A50" s="124">
        <v>7</v>
      </c>
      <c r="B50" s="200">
        <f t="shared" si="13"/>
        <v>44378</v>
      </c>
      <c r="C50" s="224">
        <f t="shared" si="14"/>
        <v>44412</v>
      </c>
      <c r="D50" s="224">
        <f t="shared" si="14"/>
        <v>44432</v>
      </c>
      <c r="E50" s="210" t="s">
        <v>81</v>
      </c>
      <c r="F50" s="162">
        <v>9</v>
      </c>
      <c r="G50" s="203">
        <v>138</v>
      </c>
      <c r="H50" s="204">
        <f t="shared" si="5"/>
        <v>870.64</v>
      </c>
      <c r="I50" s="204">
        <f t="shared" si="1"/>
        <v>888.73</v>
      </c>
      <c r="J50" s="208">
        <f t="shared" si="15"/>
        <v>122644.74</v>
      </c>
      <c r="K50" s="212">
        <f t="shared" si="16"/>
        <v>120148.31999999999</v>
      </c>
      <c r="L50" s="211">
        <f t="shared" si="17"/>
        <v>2496.4200000000128</v>
      </c>
      <c r="M50" s="208">
        <f t="shared" si="7"/>
        <v>79.655193423798821</v>
      </c>
      <c r="N50" s="209">
        <f t="shared" si="8"/>
        <v>2576.0751934238115</v>
      </c>
      <c r="O50" s="208">
        <v>0</v>
      </c>
      <c r="P50" s="208">
        <v>0</v>
      </c>
      <c r="Q50" s="208">
        <v>0</v>
      </c>
      <c r="R50" s="209">
        <f t="shared" si="9"/>
        <v>2576.0751934238115</v>
      </c>
    </row>
    <row r="51" spans="1:18" x14ac:dyDescent="0.2">
      <c r="A51" s="162">
        <v>8</v>
      </c>
      <c r="B51" s="200">
        <f t="shared" si="13"/>
        <v>44409</v>
      </c>
      <c r="C51" s="224">
        <f t="shared" si="14"/>
        <v>44442</v>
      </c>
      <c r="D51" s="224">
        <f t="shared" si="14"/>
        <v>44463</v>
      </c>
      <c r="E51" s="210" t="s">
        <v>81</v>
      </c>
      <c r="F51" s="162">
        <v>9</v>
      </c>
      <c r="G51" s="203">
        <v>140</v>
      </c>
      <c r="H51" s="204">
        <f t="shared" si="5"/>
        <v>870.64</v>
      </c>
      <c r="I51" s="204">
        <f t="shared" si="1"/>
        <v>888.73</v>
      </c>
      <c r="J51" s="208">
        <f t="shared" si="15"/>
        <v>124422.2</v>
      </c>
      <c r="K51" s="212">
        <f t="shared" si="16"/>
        <v>121889.59999999999</v>
      </c>
      <c r="L51" s="211">
        <f t="shared" si="17"/>
        <v>2532.6000000000058</v>
      </c>
      <c r="M51" s="208">
        <f t="shared" si="7"/>
        <v>80.80961651689735</v>
      </c>
      <c r="N51" s="209">
        <f t="shared" si="8"/>
        <v>2613.409616516903</v>
      </c>
      <c r="O51" s="208">
        <v>0</v>
      </c>
      <c r="P51" s="208">
        <v>0</v>
      </c>
      <c r="Q51" s="208">
        <v>0</v>
      </c>
      <c r="R51" s="209">
        <f t="shared" si="9"/>
        <v>2613.409616516903</v>
      </c>
    </row>
    <row r="52" spans="1:18" x14ac:dyDescent="0.2">
      <c r="A52" s="162">
        <v>9</v>
      </c>
      <c r="B52" s="200">
        <f t="shared" si="13"/>
        <v>44440</v>
      </c>
      <c r="C52" s="224">
        <f t="shared" si="14"/>
        <v>44474</v>
      </c>
      <c r="D52" s="224">
        <f t="shared" si="14"/>
        <v>44494</v>
      </c>
      <c r="E52" s="210" t="s">
        <v>81</v>
      </c>
      <c r="F52" s="162">
        <v>9</v>
      </c>
      <c r="G52" s="203">
        <v>140</v>
      </c>
      <c r="H52" s="204">
        <f t="shared" si="5"/>
        <v>870.64</v>
      </c>
      <c r="I52" s="204">
        <f t="shared" si="1"/>
        <v>888.73</v>
      </c>
      <c r="J52" s="208">
        <f t="shared" si="15"/>
        <v>124422.2</v>
      </c>
      <c r="K52" s="212">
        <f t="shared" si="16"/>
        <v>121889.59999999999</v>
      </c>
      <c r="L52" s="211">
        <f t="shared" si="17"/>
        <v>2532.6000000000058</v>
      </c>
      <c r="M52" s="208">
        <f t="shared" si="7"/>
        <v>80.80961651689735</v>
      </c>
      <c r="N52" s="209">
        <f t="shared" si="8"/>
        <v>2613.409616516903</v>
      </c>
      <c r="O52" s="208">
        <v>0</v>
      </c>
      <c r="P52" s="208">
        <v>0</v>
      </c>
      <c r="Q52" s="208">
        <v>0</v>
      </c>
      <c r="R52" s="209">
        <f t="shared" si="9"/>
        <v>2613.409616516903</v>
      </c>
    </row>
    <row r="53" spans="1:18" x14ac:dyDescent="0.2">
      <c r="A53" s="124">
        <v>10</v>
      </c>
      <c r="B53" s="200">
        <f t="shared" si="13"/>
        <v>44470</v>
      </c>
      <c r="C53" s="224">
        <f t="shared" si="14"/>
        <v>44503</v>
      </c>
      <c r="D53" s="224">
        <f t="shared" si="14"/>
        <v>44524</v>
      </c>
      <c r="E53" s="210" t="s">
        <v>81</v>
      </c>
      <c r="F53" s="162">
        <v>9</v>
      </c>
      <c r="G53" s="203">
        <v>106</v>
      </c>
      <c r="H53" s="204">
        <f t="shared" si="5"/>
        <v>870.64</v>
      </c>
      <c r="I53" s="204">
        <f t="shared" si="1"/>
        <v>888.73</v>
      </c>
      <c r="J53" s="208">
        <f t="shared" si="15"/>
        <v>94205.38</v>
      </c>
      <c r="K53" s="212">
        <f t="shared" si="16"/>
        <v>92287.84</v>
      </c>
      <c r="L53" s="211">
        <f t="shared" si="17"/>
        <v>1917.5400000000081</v>
      </c>
      <c r="M53" s="208">
        <f t="shared" si="7"/>
        <v>61.184423934222281</v>
      </c>
      <c r="N53" s="209">
        <f t="shared" si="8"/>
        <v>1978.7244239342303</v>
      </c>
      <c r="O53" s="208">
        <v>0</v>
      </c>
      <c r="P53" s="208">
        <v>0</v>
      </c>
      <c r="Q53" s="208">
        <v>0</v>
      </c>
      <c r="R53" s="209">
        <f t="shared" si="9"/>
        <v>1978.7244239342303</v>
      </c>
    </row>
    <row r="54" spans="1:18" x14ac:dyDescent="0.2">
      <c r="A54" s="162">
        <v>11</v>
      </c>
      <c r="B54" s="200">
        <f t="shared" si="13"/>
        <v>44501</v>
      </c>
      <c r="C54" s="224">
        <f t="shared" si="14"/>
        <v>44533</v>
      </c>
      <c r="D54" s="224">
        <f t="shared" si="14"/>
        <v>44557</v>
      </c>
      <c r="E54" s="210" t="s">
        <v>81</v>
      </c>
      <c r="F54" s="162">
        <v>9</v>
      </c>
      <c r="G54" s="203">
        <v>107</v>
      </c>
      <c r="H54" s="204">
        <f t="shared" si="5"/>
        <v>870.64</v>
      </c>
      <c r="I54" s="204">
        <f t="shared" si="1"/>
        <v>888.73</v>
      </c>
      <c r="J54" s="208">
        <f t="shared" si="15"/>
        <v>95094.11</v>
      </c>
      <c r="K54" s="212">
        <f t="shared" si="16"/>
        <v>93158.48</v>
      </c>
      <c r="L54" s="211">
        <f t="shared" si="17"/>
        <v>1935.6300000000047</v>
      </c>
      <c r="M54" s="208">
        <f t="shared" si="7"/>
        <v>61.761635480771545</v>
      </c>
      <c r="N54" s="209">
        <f t="shared" si="8"/>
        <v>1997.3916354807761</v>
      </c>
      <c r="O54" s="208">
        <v>0</v>
      </c>
      <c r="P54" s="208">
        <v>0</v>
      </c>
      <c r="Q54" s="208">
        <v>0</v>
      </c>
      <c r="R54" s="209">
        <f t="shared" si="9"/>
        <v>1997.3916354807761</v>
      </c>
    </row>
    <row r="55" spans="1:18" x14ac:dyDescent="0.2">
      <c r="A55" s="162">
        <v>12</v>
      </c>
      <c r="B55" s="200">
        <f t="shared" si="13"/>
        <v>44531</v>
      </c>
      <c r="C55" s="224">
        <f t="shared" si="14"/>
        <v>44566</v>
      </c>
      <c r="D55" s="224">
        <f t="shared" si="14"/>
        <v>44585</v>
      </c>
      <c r="E55" s="210" t="s">
        <v>81</v>
      </c>
      <c r="F55" s="162">
        <v>9</v>
      </c>
      <c r="G55" s="215">
        <v>110</v>
      </c>
      <c r="H55" s="216">
        <f t="shared" si="5"/>
        <v>870.64</v>
      </c>
      <c r="I55" s="216">
        <f t="shared" si="1"/>
        <v>888.73</v>
      </c>
      <c r="J55" s="217">
        <f t="shared" si="15"/>
        <v>97760.3</v>
      </c>
      <c r="K55" s="218">
        <f t="shared" si="16"/>
        <v>95770.4</v>
      </c>
      <c r="L55" s="219">
        <f t="shared" si="17"/>
        <v>1989.9000000000087</v>
      </c>
      <c r="M55" s="208">
        <f t="shared" si="7"/>
        <v>63.493270120419346</v>
      </c>
      <c r="N55" s="209">
        <f t="shared" si="8"/>
        <v>2053.393270120428</v>
      </c>
      <c r="O55" s="208">
        <v>0</v>
      </c>
      <c r="P55" s="208">
        <v>0</v>
      </c>
      <c r="Q55" s="208">
        <v>0</v>
      </c>
      <c r="R55" s="209">
        <f t="shared" si="9"/>
        <v>2053.393270120428</v>
      </c>
    </row>
    <row r="56" spans="1:18" s="225" customFormat="1" x14ac:dyDescent="0.2">
      <c r="A56" s="124">
        <v>1</v>
      </c>
      <c r="B56" s="220">
        <f t="shared" si="4"/>
        <v>44197</v>
      </c>
      <c r="C56" s="221">
        <f t="shared" ref="C56:D67" si="18">+C32</f>
        <v>44230</v>
      </c>
      <c r="D56" s="221">
        <f t="shared" si="18"/>
        <v>44251</v>
      </c>
      <c r="E56" s="222" t="s">
        <v>14</v>
      </c>
      <c r="F56" s="223">
        <v>9</v>
      </c>
      <c r="G56" s="203">
        <v>767</v>
      </c>
      <c r="H56" s="204">
        <f t="shared" si="5"/>
        <v>870.64</v>
      </c>
      <c r="I56" s="204">
        <f t="shared" si="1"/>
        <v>888.73</v>
      </c>
      <c r="J56" s="205">
        <f t="shared" si="2"/>
        <v>681655.91</v>
      </c>
      <c r="K56" s="206">
        <f t="shared" si="11"/>
        <v>667780.88</v>
      </c>
      <c r="L56" s="207">
        <f t="shared" si="12"/>
        <v>13875.030000000028</v>
      </c>
      <c r="M56" s="208">
        <f t="shared" si="7"/>
        <v>442.72125620328757</v>
      </c>
      <c r="N56" s="209">
        <f t="shared" si="8"/>
        <v>14317.751256203315</v>
      </c>
      <c r="O56" s="208">
        <v>0</v>
      </c>
      <c r="P56" s="208">
        <v>0</v>
      </c>
      <c r="Q56" s="208">
        <v>0</v>
      </c>
      <c r="R56" s="209">
        <f t="shared" si="9"/>
        <v>14317.751256203315</v>
      </c>
    </row>
    <row r="57" spans="1:18" x14ac:dyDescent="0.2">
      <c r="A57" s="162">
        <v>2</v>
      </c>
      <c r="B57" s="200">
        <f t="shared" si="4"/>
        <v>44228</v>
      </c>
      <c r="C57" s="224">
        <f t="shared" si="18"/>
        <v>44258</v>
      </c>
      <c r="D57" s="224">
        <f t="shared" si="18"/>
        <v>44279</v>
      </c>
      <c r="E57" s="210" t="s">
        <v>14</v>
      </c>
      <c r="F57" s="162">
        <v>9</v>
      </c>
      <c r="G57" s="203">
        <v>1062</v>
      </c>
      <c r="H57" s="204">
        <f t="shared" si="5"/>
        <v>870.64</v>
      </c>
      <c r="I57" s="204">
        <f t="shared" si="1"/>
        <v>888.73</v>
      </c>
      <c r="J57" s="205">
        <f t="shared" si="2"/>
        <v>943831.26</v>
      </c>
      <c r="K57" s="206">
        <f t="shared" si="11"/>
        <v>924619.67999999993</v>
      </c>
      <c r="L57" s="207">
        <f t="shared" si="12"/>
        <v>19211.580000000075</v>
      </c>
      <c r="M57" s="208">
        <f t="shared" si="7"/>
        <v>612.99866243532131</v>
      </c>
      <c r="N57" s="209">
        <f t="shared" si="8"/>
        <v>19824.578662435397</v>
      </c>
      <c r="O57" s="208">
        <v>0</v>
      </c>
      <c r="P57" s="208">
        <v>0</v>
      </c>
      <c r="Q57" s="208">
        <v>0</v>
      </c>
      <c r="R57" s="209">
        <f t="shared" si="9"/>
        <v>19824.578662435397</v>
      </c>
    </row>
    <row r="58" spans="1:18" x14ac:dyDescent="0.2">
      <c r="A58" s="162">
        <v>3</v>
      </c>
      <c r="B58" s="200">
        <f t="shared" si="4"/>
        <v>44256</v>
      </c>
      <c r="C58" s="224">
        <f t="shared" si="18"/>
        <v>44291</v>
      </c>
      <c r="D58" s="224">
        <f t="shared" si="18"/>
        <v>44312</v>
      </c>
      <c r="E58" s="210" t="s">
        <v>14</v>
      </c>
      <c r="F58" s="162">
        <v>9</v>
      </c>
      <c r="G58" s="203">
        <v>599</v>
      </c>
      <c r="H58" s="204">
        <f t="shared" si="5"/>
        <v>870.64</v>
      </c>
      <c r="I58" s="204">
        <f t="shared" si="1"/>
        <v>888.73</v>
      </c>
      <c r="J58" s="205">
        <f t="shared" si="2"/>
        <v>532349.27</v>
      </c>
      <c r="K58" s="206">
        <f t="shared" si="11"/>
        <v>521513.36</v>
      </c>
      <c r="L58" s="207">
        <f>+J58-K58</f>
        <v>10835.910000000033</v>
      </c>
      <c r="M58" s="208">
        <f t="shared" si="7"/>
        <v>345.74971638301076</v>
      </c>
      <c r="N58" s="209">
        <f t="shared" si="8"/>
        <v>11181.659716383043</v>
      </c>
      <c r="O58" s="208">
        <v>0</v>
      </c>
      <c r="P58" s="208">
        <v>0</v>
      </c>
      <c r="Q58" s="208">
        <v>0</v>
      </c>
      <c r="R58" s="209">
        <f t="shared" si="9"/>
        <v>11181.659716383043</v>
      </c>
    </row>
    <row r="59" spans="1:18" x14ac:dyDescent="0.2">
      <c r="A59" s="124">
        <v>4</v>
      </c>
      <c r="B59" s="200">
        <f t="shared" si="4"/>
        <v>44287</v>
      </c>
      <c r="C59" s="224">
        <f t="shared" si="18"/>
        <v>44321</v>
      </c>
      <c r="D59" s="224">
        <f t="shared" si="18"/>
        <v>44340</v>
      </c>
      <c r="E59" s="210" t="s">
        <v>14</v>
      </c>
      <c r="F59" s="162">
        <v>9</v>
      </c>
      <c r="G59" s="203">
        <v>447</v>
      </c>
      <c r="H59" s="204">
        <f t="shared" si="5"/>
        <v>870.64</v>
      </c>
      <c r="I59" s="204">
        <f t="shared" si="1"/>
        <v>888.73</v>
      </c>
      <c r="J59" s="205">
        <f t="shared" si="2"/>
        <v>397262.31</v>
      </c>
      <c r="K59" s="206">
        <f t="shared" si="11"/>
        <v>389176.08</v>
      </c>
      <c r="L59" s="207">
        <f t="shared" ref="L59:L81" si="19">+J59-K59</f>
        <v>8086.2299999999814</v>
      </c>
      <c r="M59" s="208">
        <f t="shared" si="7"/>
        <v>258.0135613075222</v>
      </c>
      <c r="N59" s="209">
        <f t="shared" si="8"/>
        <v>8344.2435613075031</v>
      </c>
      <c r="O59" s="208">
        <v>0</v>
      </c>
      <c r="P59" s="208">
        <v>0</v>
      </c>
      <c r="Q59" s="208">
        <v>0</v>
      </c>
      <c r="R59" s="209">
        <f t="shared" si="9"/>
        <v>8344.2435613075031</v>
      </c>
    </row>
    <row r="60" spans="1:18" x14ac:dyDescent="0.2">
      <c r="A60" s="162">
        <v>5</v>
      </c>
      <c r="B60" s="200">
        <f t="shared" si="4"/>
        <v>44317</v>
      </c>
      <c r="C60" s="224">
        <f t="shared" si="18"/>
        <v>44350</v>
      </c>
      <c r="D60" s="224">
        <f t="shared" si="18"/>
        <v>44371</v>
      </c>
      <c r="E60" s="54" t="s">
        <v>14</v>
      </c>
      <c r="F60" s="162">
        <v>9</v>
      </c>
      <c r="G60" s="203">
        <v>603</v>
      </c>
      <c r="H60" s="204">
        <f t="shared" si="5"/>
        <v>870.64</v>
      </c>
      <c r="I60" s="204">
        <f t="shared" si="1"/>
        <v>888.73</v>
      </c>
      <c r="J60" s="205">
        <f t="shared" si="2"/>
        <v>535904.19000000006</v>
      </c>
      <c r="K60" s="206">
        <f t="shared" si="11"/>
        <v>524995.92000000004</v>
      </c>
      <c r="L60" s="207">
        <f t="shared" si="19"/>
        <v>10908.270000000019</v>
      </c>
      <c r="M60" s="208">
        <f t="shared" si="7"/>
        <v>348.05856256920782</v>
      </c>
      <c r="N60" s="209">
        <f t="shared" si="8"/>
        <v>11256.328562569226</v>
      </c>
      <c r="O60" s="208">
        <v>0</v>
      </c>
      <c r="P60" s="208">
        <v>0</v>
      </c>
      <c r="Q60" s="208">
        <v>0</v>
      </c>
      <c r="R60" s="209">
        <f t="shared" si="9"/>
        <v>11256.328562569226</v>
      </c>
    </row>
    <row r="61" spans="1:18" x14ac:dyDescent="0.2">
      <c r="A61" s="162">
        <v>6</v>
      </c>
      <c r="B61" s="200">
        <f t="shared" si="4"/>
        <v>44348</v>
      </c>
      <c r="C61" s="224">
        <f t="shared" si="18"/>
        <v>44383</v>
      </c>
      <c r="D61" s="224">
        <f t="shared" si="18"/>
        <v>44401</v>
      </c>
      <c r="E61" s="54" t="s">
        <v>14</v>
      </c>
      <c r="F61" s="162">
        <v>9</v>
      </c>
      <c r="G61" s="203">
        <v>840</v>
      </c>
      <c r="H61" s="204">
        <f t="shared" si="5"/>
        <v>870.64</v>
      </c>
      <c r="I61" s="204">
        <f t="shared" si="1"/>
        <v>888.73</v>
      </c>
      <c r="J61" s="205">
        <f t="shared" si="2"/>
        <v>746533.20000000007</v>
      </c>
      <c r="K61" s="206">
        <f t="shared" si="11"/>
        <v>731337.6</v>
      </c>
      <c r="L61" s="211">
        <f t="shared" si="19"/>
        <v>15195.600000000093</v>
      </c>
      <c r="M61" s="208">
        <f t="shared" si="7"/>
        <v>484.85769910138407</v>
      </c>
      <c r="N61" s="209">
        <f t="shared" si="8"/>
        <v>15680.457699101476</v>
      </c>
      <c r="O61" s="208">
        <v>0</v>
      </c>
      <c r="P61" s="208">
        <v>0</v>
      </c>
      <c r="Q61" s="208">
        <v>0</v>
      </c>
      <c r="R61" s="209">
        <f t="shared" si="9"/>
        <v>15680.457699101476</v>
      </c>
    </row>
    <row r="62" spans="1:18" x14ac:dyDescent="0.2">
      <c r="A62" s="124">
        <v>7</v>
      </c>
      <c r="B62" s="200">
        <f t="shared" si="4"/>
        <v>44378</v>
      </c>
      <c r="C62" s="224">
        <f t="shared" si="18"/>
        <v>44412</v>
      </c>
      <c r="D62" s="224">
        <f t="shared" si="18"/>
        <v>44432</v>
      </c>
      <c r="E62" s="54" t="s">
        <v>14</v>
      </c>
      <c r="F62" s="162">
        <v>9</v>
      </c>
      <c r="G62" s="203">
        <v>926</v>
      </c>
      <c r="H62" s="204">
        <f t="shared" si="5"/>
        <v>870.64</v>
      </c>
      <c r="I62" s="204">
        <f t="shared" si="1"/>
        <v>888.73</v>
      </c>
      <c r="J62" s="205">
        <f t="shared" si="2"/>
        <v>822963.98</v>
      </c>
      <c r="K62" s="212">
        <f t="shared" si="11"/>
        <v>806212.64</v>
      </c>
      <c r="L62" s="211">
        <f t="shared" si="19"/>
        <v>16751.339999999967</v>
      </c>
      <c r="M62" s="208">
        <f t="shared" si="7"/>
        <v>534.49789210462097</v>
      </c>
      <c r="N62" s="209">
        <f t="shared" si="8"/>
        <v>17285.837892104588</v>
      </c>
      <c r="O62" s="208">
        <v>0</v>
      </c>
      <c r="P62" s="208">
        <v>0</v>
      </c>
      <c r="Q62" s="208">
        <v>0</v>
      </c>
      <c r="R62" s="209">
        <f t="shared" si="9"/>
        <v>17285.837892104588</v>
      </c>
    </row>
    <row r="63" spans="1:18" x14ac:dyDescent="0.2">
      <c r="A63" s="162">
        <v>8</v>
      </c>
      <c r="B63" s="200">
        <f t="shared" si="4"/>
        <v>44409</v>
      </c>
      <c r="C63" s="224">
        <f t="shared" si="18"/>
        <v>44442</v>
      </c>
      <c r="D63" s="224">
        <f t="shared" si="18"/>
        <v>44463</v>
      </c>
      <c r="E63" s="54" t="s">
        <v>14</v>
      </c>
      <c r="F63" s="162">
        <v>9</v>
      </c>
      <c r="G63" s="203">
        <v>943</v>
      </c>
      <c r="H63" s="204">
        <f t="shared" si="5"/>
        <v>870.64</v>
      </c>
      <c r="I63" s="204">
        <f t="shared" si="1"/>
        <v>888.73</v>
      </c>
      <c r="J63" s="205">
        <f t="shared" si="2"/>
        <v>838072.39</v>
      </c>
      <c r="K63" s="212">
        <f t="shared" si="11"/>
        <v>821013.52</v>
      </c>
      <c r="L63" s="211">
        <f t="shared" si="19"/>
        <v>17058.869999999995</v>
      </c>
      <c r="M63" s="208">
        <f t="shared" si="7"/>
        <v>544.3104883959586</v>
      </c>
      <c r="N63" s="209">
        <f t="shared" si="8"/>
        <v>17603.180488395956</v>
      </c>
      <c r="O63" s="208">
        <v>0</v>
      </c>
      <c r="P63" s="208">
        <v>0</v>
      </c>
      <c r="Q63" s="208">
        <v>0</v>
      </c>
      <c r="R63" s="209">
        <f t="shared" si="9"/>
        <v>17603.180488395956</v>
      </c>
    </row>
    <row r="64" spans="1:18" x14ac:dyDescent="0.2">
      <c r="A64" s="162">
        <v>9</v>
      </c>
      <c r="B64" s="200">
        <f t="shared" si="4"/>
        <v>44440</v>
      </c>
      <c r="C64" s="224">
        <f t="shared" si="18"/>
        <v>44474</v>
      </c>
      <c r="D64" s="224">
        <f t="shared" si="18"/>
        <v>44494</v>
      </c>
      <c r="E64" s="54" t="s">
        <v>14</v>
      </c>
      <c r="F64" s="162">
        <v>9</v>
      </c>
      <c r="G64" s="203">
        <v>913</v>
      </c>
      <c r="H64" s="204">
        <f t="shared" si="5"/>
        <v>870.64</v>
      </c>
      <c r="I64" s="204">
        <f t="shared" ref="I64:I107" si="20">$J$3</f>
        <v>888.73</v>
      </c>
      <c r="J64" s="205">
        <f t="shared" si="2"/>
        <v>811410.49</v>
      </c>
      <c r="K64" s="212">
        <f t="shared" si="11"/>
        <v>794894.32</v>
      </c>
      <c r="L64" s="211">
        <f t="shared" si="19"/>
        <v>16516.170000000042</v>
      </c>
      <c r="M64" s="208">
        <f t="shared" si="7"/>
        <v>526.99414199948046</v>
      </c>
      <c r="N64" s="209">
        <f t="shared" si="8"/>
        <v>17043.164141999521</v>
      </c>
      <c r="O64" s="208">
        <v>0</v>
      </c>
      <c r="P64" s="208">
        <v>0</v>
      </c>
      <c r="Q64" s="208">
        <v>0</v>
      </c>
      <c r="R64" s="209">
        <f t="shared" si="9"/>
        <v>17043.164141999521</v>
      </c>
    </row>
    <row r="65" spans="1:18" x14ac:dyDescent="0.2">
      <c r="A65" s="124">
        <v>10</v>
      </c>
      <c r="B65" s="200">
        <f t="shared" si="4"/>
        <v>44470</v>
      </c>
      <c r="C65" s="224">
        <f t="shared" si="18"/>
        <v>44503</v>
      </c>
      <c r="D65" s="224">
        <f t="shared" si="18"/>
        <v>44524</v>
      </c>
      <c r="E65" s="54" t="s">
        <v>14</v>
      </c>
      <c r="F65" s="162">
        <v>9</v>
      </c>
      <c r="G65" s="203">
        <v>681</v>
      </c>
      <c r="H65" s="204">
        <f t="shared" si="5"/>
        <v>870.64</v>
      </c>
      <c r="I65" s="204">
        <f t="shared" si="20"/>
        <v>888.73</v>
      </c>
      <c r="J65" s="205">
        <f t="shared" si="2"/>
        <v>605225.13</v>
      </c>
      <c r="K65" s="212">
        <f t="shared" si="11"/>
        <v>592905.84</v>
      </c>
      <c r="L65" s="211">
        <f t="shared" si="19"/>
        <v>12319.290000000037</v>
      </c>
      <c r="M65" s="208">
        <f t="shared" si="7"/>
        <v>393.08106320005066</v>
      </c>
      <c r="N65" s="209">
        <f t="shared" si="8"/>
        <v>12712.371063200088</v>
      </c>
      <c r="O65" s="208">
        <v>0</v>
      </c>
      <c r="P65" s="208">
        <v>0</v>
      </c>
      <c r="Q65" s="208">
        <v>0</v>
      </c>
      <c r="R65" s="209">
        <f t="shared" si="9"/>
        <v>12712.371063200088</v>
      </c>
    </row>
    <row r="66" spans="1:18" x14ac:dyDescent="0.2">
      <c r="A66" s="162">
        <v>11</v>
      </c>
      <c r="B66" s="200">
        <f t="shared" si="4"/>
        <v>44501</v>
      </c>
      <c r="C66" s="224">
        <f t="shared" si="18"/>
        <v>44533</v>
      </c>
      <c r="D66" s="224">
        <f t="shared" si="18"/>
        <v>44557</v>
      </c>
      <c r="E66" s="54" t="s">
        <v>14</v>
      </c>
      <c r="F66" s="162">
        <v>9</v>
      </c>
      <c r="G66" s="203">
        <v>652</v>
      </c>
      <c r="H66" s="204">
        <f t="shared" si="5"/>
        <v>870.64</v>
      </c>
      <c r="I66" s="204">
        <f t="shared" si="20"/>
        <v>888.73</v>
      </c>
      <c r="J66" s="205">
        <f t="shared" si="2"/>
        <v>579451.96</v>
      </c>
      <c r="K66" s="212">
        <f t="shared" si="11"/>
        <v>567657.28</v>
      </c>
      <c r="L66" s="211">
        <f t="shared" si="19"/>
        <v>11794.679999999935</v>
      </c>
      <c r="M66" s="208">
        <f t="shared" si="7"/>
        <v>376.34192835012192</v>
      </c>
      <c r="N66" s="209">
        <f t="shared" si="8"/>
        <v>12171.021928350057</v>
      </c>
      <c r="O66" s="208">
        <v>0</v>
      </c>
      <c r="P66" s="208">
        <v>0</v>
      </c>
      <c r="Q66" s="208">
        <v>0</v>
      </c>
      <c r="R66" s="209">
        <f t="shared" si="9"/>
        <v>12171.021928350057</v>
      </c>
    </row>
    <row r="67" spans="1:18" s="228" customFormat="1" x14ac:dyDescent="0.2">
      <c r="A67" s="162">
        <v>12</v>
      </c>
      <c r="B67" s="226">
        <f t="shared" si="4"/>
        <v>44531</v>
      </c>
      <c r="C67" s="224">
        <f t="shared" si="18"/>
        <v>44566</v>
      </c>
      <c r="D67" s="224">
        <f t="shared" si="18"/>
        <v>44585</v>
      </c>
      <c r="E67" s="227" t="s">
        <v>14</v>
      </c>
      <c r="F67" s="173">
        <v>9</v>
      </c>
      <c r="G67" s="215">
        <v>634</v>
      </c>
      <c r="H67" s="216">
        <f t="shared" si="5"/>
        <v>870.64</v>
      </c>
      <c r="I67" s="216">
        <f t="shared" si="20"/>
        <v>888.73</v>
      </c>
      <c r="J67" s="217">
        <f t="shared" si="2"/>
        <v>563454.82000000007</v>
      </c>
      <c r="K67" s="218">
        <f t="shared" si="11"/>
        <v>551985.76</v>
      </c>
      <c r="L67" s="219">
        <f t="shared" si="19"/>
        <v>11469.060000000056</v>
      </c>
      <c r="M67" s="208">
        <f t="shared" si="7"/>
        <v>365.95212051223513</v>
      </c>
      <c r="N67" s="209">
        <f t="shared" si="8"/>
        <v>11835.01212051229</v>
      </c>
      <c r="O67" s="208">
        <v>0</v>
      </c>
      <c r="P67" s="208">
        <v>0</v>
      </c>
      <c r="Q67" s="208">
        <v>0</v>
      </c>
      <c r="R67" s="209">
        <f t="shared" si="9"/>
        <v>11835.01212051229</v>
      </c>
    </row>
    <row r="68" spans="1:18" x14ac:dyDescent="0.2">
      <c r="A68" s="124">
        <v>1</v>
      </c>
      <c r="B68" s="200">
        <f t="shared" si="4"/>
        <v>44197</v>
      </c>
      <c r="C68" s="221">
        <f t="shared" ref="C68:D79" si="21">+C56</f>
        <v>44230</v>
      </c>
      <c r="D68" s="221">
        <f t="shared" si="21"/>
        <v>44251</v>
      </c>
      <c r="E68" s="202" t="s">
        <v>83</v>
      </c>
      <c r="F68" s="124">
        <v>9</v>
      </c>
      <c r="G68" s="203">
        <v>38</v>
      </c>
      <c r="H68" s="204">
        <f t="shared" si="5"/>
        <v>870.64</v>
      </c>
      <c r="I68" s="204">
        <f t="shared" si="20"/>
        <v>888.73</v>
      </c>
      <c r="J68" s="205">
        <f t="shared" si="2"/>
        <v>33771.74</v>
      </c>
      <c r="K68" s="206">
        <f t="shared" si="11"/>
        <v>33084.32</v>
      </c>
      <c r="L68" s="207">
        <f t="shared" si="19"/>
        <v>687.41999999999825</v>
      </c>
      <c r="M68" s="208">
        <f t="shared" si="7"/>
        <v>21.934038768872135</v>
      </c>
      <c r="N68" s="209">
        <f t="shared" si="8"/>
        <v>709.3540387688704</v>
      </c>
      <c r="O68" s="208">
        <v>0</v>
      </c>
      <c r="P68" s="208">
        <v>0</v>
      </c>
      <c r="Q68" s="208">
        <v>0</v>
      </c>
      <c r="R68" s="209">
        <f t="shared" si="9"/>
        <v>709.3540387688704</v>
      </c>
    </row>
    <row r="69" spans="1:18" x14ac:dyDescent="0.2">
      <c r="A69" s="162">
        <v>2</v>
      </c>
      <c r="B69" s="200">
        <f t="shared" si="4"/>
        <v>44228</v>
      </c>
      <c r="C69" s="224">
        <f t="shared" si="21"/>
        <v>44258</v>
      </c>
      <c r="D69" s="224">
        <f t="shared" si="21"/>
        <v>44279</v>
      </c>
      <c r="E69" s="210" t="s">
        <v>83</v>
      </c>
      <c r="F69" s="162">
        <v>9</v>
      </c>
      <c r="G69" s="203">
        <v>60</v>
      </c>
      <c r="H69" s="204">
        <f t="shared" si="5"/>
        <v>870.64</v>
      </c>
      <c r="I69" s="204">
        <f t="shared" si="20"/>
        <v>888.73</v>
      </c>
      <c r="J69" s="205">
        <f t="shared" si="2"/>
        <v>53323.8</v>
      </c>
      <c r="K69" s="206">
        <f t="shared" si="11"/>
        <v>52238.400000000001</v>
      </c>
      <c r="L69" s="207">
        <f t="shared" si="19"/>
        <v>1085.4000000000015</v>
      </c>
      <c r="M69" s="208">
        <f t="shared" si="7"/>
        <v>34.632692792956007</v>
      </c>
      <c r="N69" s="209">
        <f t="shared" si="8"/>
        <v>1120.0326927929575</v>
      </c>
      <c r="O69" s="208">
        <v>0</v>
      </c>
      <c r="P69" s="208">
        <v>0</v>
      </c>
      <c r="Q69" s="208">
        <v>0</v>
      </c>
      <c r="R69" s="209">
        <f t="shared" si="9"/>
        <v>1120.0326927929575</v>
      </c>
    </row>
    <row r="70" spans="1:18" x14ac:dyDescent="0.2">
      <c r="A70" s="162">
        <v>3</v>
      </c>
      <c r="B70" s="200">
        <f t="shared" si="4"/>
        <v>44256</v>
      </c>
      <c r="C70" s="224">
        <f t="shared" si="21"/>
        <v>44291</v>
      </c>
      <c r="D70" s="224">
        <f t="shared" si="21"/>
        <v>44312</v>
      </c>
      <c r="E70" s="210" t="s">
        <v>83</v>
      </c>
      <c r="F70" s="162">
        <v>9</v>
      </c>
      <c r="G70" s="203">
        <v>31</v>
      </c>
      <c r="H70" s="204">
        <f t="shared" si="5"/>
        <v>870.64</v>
      </c>
      <c r="I70" s="204">
        <f t="shared" si="20"/>
        <v>888.73</v>
      </c>
      <c r="J70" s="205">
        <f t="shared" si="2"/>
        <v>27550.63</v>
      </c>
      <c r="K70" s="206">
        <f t="shared" si="11"/>
        <v>26989.84</v>
      </c>
      <c r="L70" s="207">
        <f>+J70-K70</f>
        <v>560.79000000000087</v>
      </c>
      <c r="M70" s="208">
        <f t="shared" si="7"/>
        <v>17.893557943027268</v>
      </c>
      <c r="N70" s="209">
        <f t="shared" si="8"/>
        <v>578.68355794302818</v>
      </c>
      <c r="O70" s="208">
        <v>0</v>
      </c>
      <c r="P70" s="208">
        <v>0</v>
      </c>
      <c r="Q70" s="208">
        <v>0</v>
      </c>
      <c r="R70" s="209">
        <f t="shared" si="9"/>
        <v>578.68355794302818</v>
      </c>
    </row>
    <row r="71" spans="1:18" x14ac:dyDescent="0.2">
      <c r="A71" s="124">
        <v>4</v>
      </c>
      <c r="B71" s="200">
        <f t="shared" si="4"/>
        <v>44287</v>
      </c>
      <c r="C71" s="224">
        <f t="shared" si="21"/>
        <v>44321</v>
      </c>
      <c r="D71" s="224">
        <f t="shared" si="21"/>
        <v>44340</v>
      </c>
      <c r="E71" s="210" t="s">
        <v>83</v>
      </c>
      <c r="F71" s="162">
        <v>9</v>
      </c>
      <c r="G71" s="203">
        <v>20</v>
      </c>
      <c r="H71" s="204">
        <f t="shared" si="5"/>
        <v>870.64</v>
      </c>
      <c r="I71" s="204">
        <f t="shared" si="20"/>
        <v>888.73</v>
      </c>
      <c r="J71" s="205">
        <f t="shared" si="2"/>
        <v>17774.599999999999</v>
      </c>
      <c r="K71" s="206">
        <f t="shared" si="11"/>
        <v>17412.8</v>
      </c>
      <c r="L71" s="207">
        <f t="shared" ref="L71:L79" si="22">+J71-K71</f>
        <v>361.79999999999927</v>
      </c>
      <c r="M71" s="208">
        <f t="shared" si="7"/>
        <v>11.544230930985334</v>
      </c>
      <c r="N71" s="209">
        <f t="shared" si="8"/>
        <v>373.34423093098462</v>
      </c>
      <c r="O71" s="208">
        <v>0</v>
      </c>
      <c r="P71" s="208">
        <v>0</v>
      </c>
      <c r="Q71" s="208">
        <v>0</v>
      </c>
      <c r="R71" s="209">
        <f t="shared" si="9"/>
        <v>373.34423093098462</v>
      </c>
    </row>
    <row r="72" spans="1:18" x14ac:dyDescent="0.2">
      <c r="A72" s="162">
        <v>5</v>
      </c>
      <c r="B72" s="200">
        <f t="shared" si="4"/>
        <v>44317</v>
      </c>
      <c r="C72" s="224">
        <f t="shared" si="21"/>
        <v>44350</v>
      </c>
      <c r="D72" s="224">
        <f t="shared" si="21"/>
        <v>44371</v>
      </c>
      <c r="E72" s="210" t="s">
        <v>83</v>
      </c>
      <c r="F72" s="162">
        <v>9</v>
      </c>
      <c r="G72" s="203">
        <v>28</v>
      </c>
      <c r="H72" s="204">
        <f t="shared" si="5"/>
        <v>870.64</v>
      </c>
      <c r="I72" s="204">
        <f t="shared" si="20"/>
        <v>888.73</v>
      </c>
      <c r="J72" s="205">
        <f t="shared" si="2"/>
        <v>24884.440000000002</v>
      </c>
      <c r="K72" s="206">
        <f t="shared" si="11"/>
        <v>24377.919999999998</v>
      </c>
      <c r="L72" s="207">
        <f t="shared" si="22"/>
        <v>506.52000000000407</v>
      </c>
      <c r="M72" s="208">
        <f t="shared" si="7"/>
        <v>16.161923303379471</v>
      </c>
      <c r="N72" s="209">
        <f t="shared" si="8"/>
        <v>522.68192330338354</v>
      </c>
      <c r="O72" s="208">
        <v>0</v>
      </c>
      <c r="P72" s="208">
        <v>0</v>
      </c>
      <c r="Q72" s="208">
        <v>0</v>
      </c>
      <c r="R72" s="209">
        <f t="shared" si="9"/>
        <v>522.68192330338354</v>
      </c>
    </row>
    <row r="73" spans="1:18" x14ac:dyDescent="0.2">
      <c r="A73" s="162">
        <v>6</v>
      </c>
      <c r="B73" s="200">
        <f t="shared" si="4"/>
        <v>44348</v>
      </c>
      <c r="C73" s="224">
        <f t="shared" si="21"/>
        <v>44383</v>
      </c>
      <c r="D73" s="224">
        <f t="shared" si="21"/>
        <v>44401</v>
      </c>
      <c r="E73" s="210" t="s">
        <v>83</v>
      </c>
      <c r="F73" s="162">
        <v>9</v>
      </c>
      <c r="G73" s="203">
        <v>45</v>
      </c>
      <c r="H73" s="204">
        <f t="shared" si="5"/>
        <v>870.64</v>
      </c>
      <c r="I73" s="204">
        <f t="shared" si="20"/>
        <v>888.73</v>
      </c>
      <c r="J73" s="205">
        <f t="shared" si="2"/>
        <v>39992.85</v>
      </c>
      <c r="K73" s="206">
        <f t="shared" si="11"/>
        <v>39178.800000000003</v>
      </c>
      <c r="L73" s="211">
        <f t="shared" si="22"/>
        <v>814.04999999999563</v>
      </c>
      <c r="M73" s="208">
        <f t="shared" si="7"/>
        <v>25.974519594717005</v>
      </c>
      <c r="N73" s="209">
        <f t="shared" si="8"/>
        <v>840.02451959471261</v>
      </c>
      <c r="O73" s="208">
        <v>0</v>
      </c>
      <c r="P73" s="208">
        <v>0</v>
      </c>
      <c r="Q73" s="208">
        <v>0</v>
      </c>
      <c r="R73" s="209">
        <f t="shared" si="9"/>
        <v>840.02451959471261</v>
      </c>
    </row>
    <row r="74" spans="1:18" x14ac:dyDescent="0.2">
      <c r="A74" s="124">
        <v>7</v>
      </c>
      <c r="B74" s="200">
        <f t="shared" si="4"/>
        <v>44378</v>
      </c>
      <c r="C74" s="224">
        <f t="shared" si="21"/>
        <v>44412</v>
      </c>
      <c r="D74" s="224">
        <f t="shared" si="21"/>
        <v>44432</v>
      </c>
      <c r="E74" s="210" t="s">
        <v>83</v>
      </c>
      <c r="F74" s="162">
        <v>9</v>
      </c>
      <c r="G74" s="203">
        <v>53</v>
      </c>
      <c r="H74" s="204">
        <f t="shared" si="5"/>
        <v>870.64</v>
      </c>
      <c r="I74" s="204">
        <f t="shared" si="20"/>
        <v>888.73</v>
      </c>
      <c r="J74" s="205">
        <f t="shared" si="2"/>
        <v>47102.69</v>
      </c>
      <c r="K74" s="212">
        <f t="shared" si="11"/>
        <v>46143.92</v>
      </c>
      <c r="L74" s="211">
        <f t="shared" si="22"/>
        <v>958.77000000000407</v>
      </c>
      <c r="M74" s="208">
        <f t="shared" si="7"/>
        <v>30.59221196711114</v>
      </c>
      <c r="N74" s="209">
        <f t="shared" si="8"/>
        <v>989.36221196711517</v>
      </c>
      <c r="O74" s="208">
        <v>0</v>
      </c>
      <c r="P74" s="208">
        <v>0</v>
      </c>
      <c r="Q74" s="208">
        <v>0</v>
      </c>
      <c r="R74" s="209">
        <f t="shared" si="9"/>
        <v>989.36221196711517</v>
      </c>
    </row>
    <row r="75" spans="1:18" x14ac:dyDescent="0.2">
      <c r="A75" s="162">
        <v>8</v>
      </c>
      <c r="B75" s="200">
        <f t="shared" si="4"/>
        <v>44409</v>
      </c>
      <c r="C75" s="224">
        <f t="shared" si="21"/>
        <v>44442</v>
      </c>
      <c r="D75" s="224">
        <f t="shared" si="21"/>
        <v>44463</v>
      </c>
      <c r="E75" s="210" t="s">
        <v>83</v>
      </c>
      <c r="F75" s="162">
        <v>9</v>
      </c>
      <c r="G75" s="203">
        <v>50</v>
      </c>
      <c r="H75" s="204">
        <f t="shared" si="5"/>
        <v>870.64</v>
      </c>
      <c r="I75" s="204">
        <f t="shared" si="20"/>
        <v>888.73</v>
      </c>
      <c r="J75" s="205">
        <f t="shared" si="2"/>
        <v>44436.5</v>
      </c>
      <c r="K75" s="212">
        <f t="shared" si="11"/>
        <v>43532</v>
      </c>
      <c r="L75" s="211">
        <f t="shared" si="22"/>
        <v>904.5</v>
      </c>
      <c r="M75" s="208">
        <f t="shared" si="7"/>
        <v>28.860577327463339</v>
      </c>
      <c r="N75" s="209">
        <f t="shared" si="8"/>
        <v>933.36057732746337</v>
      </c>
      <c r="O75" s="208">
        <v>0</v>
      </c>
      <c r="P75" s="208">
        <v>0</v>
      </c>
      <c r="Q75" s="208">
        <v>0</v>
      </c>
      <c r="R75" s="209">
        <f t="shared" si="9"/>
        <v>933.36057732746337</v>
      </c>
    </row>
    <row r="76" spans="1:18" x14ac:dyDescent="0.2">
      <c r="A76" s="162">
        <v>9</v>
      </c>
      <c r="B76" s="200">
        <f t="shared" si="4"/>
        <v>44440</v>
      </c>
      <c r="C76" s="224">
        <f t="shared" si="21"/>
        <v>44474</v>
      </c>
      <c r="D76" s="224">
        <f t="shared" si="21"/>
        <v>44494</v>
      </c>
      <c r="E76" s="210" t="s">
        <v>83</v>
      </c>
      <c r="F76" s="162">
        <v>9</v>
      </c>
      <c r="G76" s="203">
        <v>49</v>
      </c>
      <c r="H76" s="204">
        <f t="shared" si="5"/>
        <v>870.64</v>
      </c>
      <c r="I76" s="204">
        <f t="shared" si="20"/>
        <v>888.73</v>
      </c>
      <c r="J76" s="205">
        <f t="shared" si="2"/>
        <v>43547.770000000004</v>
      </c>
      <c r="K76" s="212">
        <f t="shared" si="11"/>
        <v>42661.36</v>
      </c>
      <c r="L76" s="211">
        <f t="shared" si="22"/>
        <v>886.41000000000349</v>
      </c>
      <c r="M76" s="208">
        <f t="shared" si="7"/>
        <v>28.283365780914075</v>
      </c>
      <c r="N76" s="209">
        <f t="shared" si="8"/>
        <v>914.69336578091759</v>
      </c>
      <c r="O76" s="208">
        <v>0</v>
      </c>
      <c r="P76" s="208">
        <v>0</v>
      </c>
      <c r="Q76" s="208">
        <v>0</v>
      </c>
      <c r="R76" s="209">
        <f t="shared" si="9"/>
        <v>914.69336578091759</v>
      </c>
    </row>
    <row r="77" spans="1:18" x14ac:dyDescent="0.2">
      <c r="A77" s="124">
        <v>10</v>
      </c>
      <c r="B77" s="200">
        <f t="shared" si="4"/>
        <v>44470</v>
      </c>
      <c r="C77" s="224">
        <f t="shared" si="21"/>
        <v>44503</v>
      </c>
      <c r="D77" s="224">
        <f t="shared" si="21"/>
        <v>44524</v>
      </c>
      <c r="E77" s="210" t="s">
        <v>83</v>
      </c>
      <c r="F77" s="162">
        <v>9</v>
      </c>
      <c r="G77" s="203">
        <v>38</v>
      </c>
      <c r="H77" s="204">
        <f t="shared" si="5"/>
        <v>870.64</v>
      </c>
      <c r="I77" s="204">
        <f t="shared" si="20"/>
        <v>888.73</v>
      </c>
      <c r="J77" s="205">
        <f t="shared" si="2"/>
        <v>33771.74</v>
      </c>
      <c r="K77" s="212">
        <f t="shared" si="11"/>
        <v>33084.32</v>
      </c>
      <c r="L77" s="211">
        <f t="shared" si="22"/>
        <v>687.41999999999825</v>
      </c>
      <c r="M77" s="208">
        <f t="shared" si="7"/>
        <v>21.934038768872135</v>
      </c>
      <c r="N77" s="209">
        <f t="shared" si="8"/>
        <v>709.3540387688704</v>
      </c>
      <c r="O77" s="208">
        <v>0</v>
      </c>
      <c r="P77" s="208">
        <v>0</v>
      </c>
      <c r="Q77" s="208">
        <v>0</v>
      </c>
      <c r="R77" s="209">
        <f t="shared" si="9"/>
        <v>709.3540387688704</v>
      </c>
    </row>
    <row r="78" spans="1:18" x14ac:dyDescent="0.2">
      <c r="A78" s="162">
        <v>11</v>
      </c>
      <c r="B78" s="200">
        <f t="shared" si="4"/>
        <v>44501</v>
      </c>
      <c r="C78" s="224">
        <f t="shared" si="21"/>
        <v>44533</v>
      </c>
      <c r="D78" s="224">
        <f t="shared" si="21"/>
        <v>44557</v>
      </c>
      <c r="E78" s="210" t="s">
        <v>83</v>
      </c>
      <c r="F78" s="162">
        <v>9</v>
      </c>
      <c r="G78" s="203">
        <v>32</v>
      </c>
      <c r="H78" s="204">
        <f t="shared" si="5"/>
        <v>870.64</v>
      </c>
      <c r="I78" s="204">
        <f t="shared" si="20"/>
        <v>888.73</v>
      </c>
      <c r="J78" s="205">
        <f t="shared" si="2"/>
        <v>28439.360000000001</v>
      </c>
      <c r="K78" s="212">
        <f>+$G78*H78</f>
        <v>27860.48</v>
      </c>
      <c r="L78" s="211">
        <f t="shared" si="22"/>
        <v>578.88000000000102</v>
      </c>
      <c r="M78" s="208">
        <f t="shared" si="7"/>
        <v>18.470769489576536</v>
      </c>
      <c r="N78" s="209">
        <f t="shared" si="8"/>
        <v>597.3507694895776</v>
      </c>
      <c r="O78" s="208">
        <v>0</v>
      </c>
      <c r="P78" s="208">
        <v>0</v>
      </c>
      <c r="Q78" s="208">
        <v>0</v>
      </c>
      <c r="R78" s="209">
        <f t="shared" si="9"/>
        <v>597.3507694895776</v>
      </c>
    </row>
    <row r="79" spans="1:18" s="228" customFormat="1" x14ac:dyDescent="0.2">
      <c r="A79" s="162">
        <v>12</v>
      </c>
      <c r="B79" s="226">
        <f t="shared" si="4"/>
        <v>44531</v>
      </c>
      <c r="C79" s="229">
        <f t="shared" si="21"/>
        <v>44566</v>
      </c>
      <c r="D79" s="229">
        <f t="shared" si="21"/>
        <v>44585</v>
      </c>
      <c r="E79" s="230" t="s">
        <v>83</v>
      </c>
      <c r="F79" s="173">
        <v>9</v>
      </c>
      <c r="G79" s="215">
        <v>31</v>
      </c>
      <c r="H79" s="216">
        <f t="shared" si="5"/>
        <v>870.64</v>
      </c>
      <c r="I79" s="216">
        <f t="shared" si="20"/>
        <v>888.73</v>
      </c>
      <c r="J79" s="217">
        <f t="shared" si="2"/>
        <v>27550.63</v>
      </c>
      <c r="K79" s="218">
        <f>+$G79*H79</f>
        <v>26989.84</v>
      </c>
      <c r="L79" s="219">
        <f t="shared" si="22"/>
        <v>560.79000000000087</v>
      </c>
      <c r="M79" s="208">
        <f t="shared" si="7"/>
        <v>17.893557943027268</v>
      </c>
      <c r="N79" s="209">
        <f t="shared" si="8"/>
        <v>578.68355794302818</v>
      </c>
      <c r="O79" s="208">
        <v>0</v>
      </c>
      <c r="P79" s="208">
        <v>0</v>
      </c>
      <c r="Q79" s="208">
        <v>0</v>
      </c>
      <c r="R79" s="209">
        <f t="shared" si="9"/>
        <v>578.68355794302818</v>
      </c>
    </row>
    <row r="80" spans="1:18" s="52" customFormat="1" ht="12.75" customHeight="1" x14ac:dyDescent="0.2">
      <c r="A80" s="124">
        <v>1</v>
      </c>
      <c r="B80" s="200">
        <f t="shared" si="4"/>
        <v>44197</v>
      </c>
      <c r="C80" s="221">
        <f t="shared" ref="C80:D91" si="23">+C56</f>
        <v>44230</v>
      </c>
      <c r="D80" s="221">
        <f t="shared" si="23"/>
        <v>44251</v>
      </c>
      <c r="E80" s="202" t="s">
        <v>9</v>
      </c>
      <c r="F80" s="124">
        <v>9</v>
      </c>
      <c r="G80" s="203">
        <v>43</v>
      </c>
      <c r="H80" s="204">
        <f t="shared" si="5"/>
        <v>870.64</v>
      </c>
      <c r="I80" s="204">
        <f t="shared" si="20"/>
        <v>888.73</v>
      </c>
      <c r="J80" s="205">
        <f t="shared" si="2"/>
        <v>38215.39</v>
      </c>
      <c r="K80" s="206">
        <f t="shared" si="11"/>
        <v>37437.519999999997</v>
      </c>
      <c r="L80" s="207">
        <f t="shared" si="19"/>
        <v>777.87000000000262</v>
      </c>
      <c r="M80" s="208">
        <f t="shared" si="7"/>
        <v>24.820096501618469</v>
      </c>
      <c r="N80" s="209">
        <f t="shared" si="8"/>
        <v>802.69009650162104</v>
      </c>
      <c r="O80" s="208">
        <v>0</v>
      </c>
      <c r="P80" s="208">
        <v>0</v>
      </c>
      <c r="Q80" s="208">
        <v>0</v>
      </c>
      <c r="R80" s="209">
        <f t="shared" si="9"/>
        <v>802.69009650162104</v>
      </c>
    </row>
    <row r="81" spans="1:18" x14ac:dyDescent="0.2">
      <c r="A81" s="162">
        <v>2</v>
      </c>
      <c r="B81" s="200">
        <f t="shared" si="4"/>
        <v>44228</v>
      </c>
      <c r="C81" s="224">
        <f t="shared" si="23"/>
        <v>44258</v>
      </c>
      <c r="D81" s="224">
        <f t="shared" si="23"/>
        <v>44279</v>
      </c>
      <c r="E81" s="210" t="s">
        <v>9</v>
      </c>
      <c r="F81" s="162">
        <v>9</v>
      </c>
      <c r="G81" s="203">
        <v>48</v>
      </c>
      <c r="H81" s="204">
        <f t="shared" si="5"/>
        <v>870.64</v>
      </c>
      <c r="I81" s="204">
        <f t="shared" si="20"/>
        <v>888.73</v>
      </c>
      <c r="J81" s="205">
        <f t="shared" si="2"/>
        <v>42659.040000000001</v>
      </c>
      <c r="K81" s="206">
        <f t="shared" si="11"/>
        <v>41790.720000000001</v>
      </c>
      <c r="L81" s="207">
        <f t="shared" si="19"/>
        <v>868.31999999999971</v>
      </c>
      <c r="M81" s="208">
        <f t="shared" si="7"/>
        <v>27.706154234364803</v>
      </c>
      <c r="N81" s="209">
        <f t="shared" si="8"/>
        <v>896.02615423436453</v>
      </c>
      <c r="O81" s="208">
        <v>0</v>
      </c>
      <c r="P81" s="208">
        <v>0</v>
      </c>
      <c r="Q81" s="208">
        <v>0</v>
      </c>
      <c r="R81" s="209">
        <f t="shared" si="9"/>
        <v>896.02615423436453</v>
      </c>
    </row>
    <row r="82" spans="1:18" x14ac:dyDescent="0.2">
      <c r="A82" s="162">
        <v>3</v>
      </c>
      <c r="B82" s="200">
        <f t="shared" si="4"/>
        <v>44256</v>
      </c>
      <c r="C82" s="224">
        <f t="shared" si="23"/>
        <v>44291</v>
      </c>
      <c r="D82" s="224">
        <f t="shared" si="23"/>
        <v>44312</v>
      </c>
      <c r="E82" s="210" t="s">
        <v>9</v>
      </c>
      <c r="F82" s="162">
        <v>9</v>
      </c>
      <c r="G82" s="203">
        <v>35</v>
      </c>
      <c r="H82" s="204">
        <f t="shared" si="5"/>
        <v>870.64</v>
      </c>
      <c r="I82" s="204">
        <f t="shared" si="20"/>
        <v>888.73</v>
      </c>
      <c r="J82" s="205">
        <f t="shared" si="2"/>
        <v>31105.55</v>
      </c>
      <c r="K82" s="206">
        <f t="shared" si="11"/>
        <v>30472.399999999998</v>
      </c>
      <c r="L82" s="207">
        <f>+J82-K82</f>
        <v>633.15000000000146</v>
      </c>
      <c r="M82" s="208">
        <f t="shared" si="7"/>
        <v>20.202404129224337</v>
      </c>
      <c r="N82" s="209">
        <f t="shared" si="8"/>
        <v>653.35240412922576</v>
      </c>
      <c r="O82" s="208">
        <v>0</v>
      </c>
      <c r="P82" s="208">
        <v>0</v>
      </c>
      <c r="Q82" s="208">
        <v>0</v>
      </c>
      <c r="R82" s="209">
        <f t="shared" si="9"/>
        <v>653.35240412922576</v>
      </c>
    </row>
    <row r="83" spans="1:18" ht="12" customHeight="1" x14ac:dyDescent="0.2">
      <c r="A83" s="124">
        <v>4</v>
      </c>
      <c r="B83" s="200">
        <f t="shared" si="4"/>
        <v>44287</v>
      </c>
      <c r="C83" s="224">
        <f t="shared" si="23"/>
        <v>44321</v>
      </c>
      <c r="D83" s="224">
        <f t="shared" si="23"/>
        <v>44340</v>
      </c>
      <c r="E83" s="54" t="s">
        <v>9</v>
      </c>
      <c r="F83" s="162">
        <v>9</v>
      </c>
      <c r="G83" s="203">
        <v>29</v>
      </c>
      <c r="H83" s="204">
        <f t="shared" si="5"/>
        <v>870.64</v>
      </c>
      <c r="I83" s="204">
        <f t="shared" si="20"/>
        <v>888.73</v>
      </c>
      <c r="J83" s="205">
        <f t="shared" si="2"/>
        <v>25773.170000000002</v>
      </c>
      <c r="K83" s="206">
        <f t="shared" si="11"/>
        <v>25248.560000000001</v>
      </c>
      <c r="L83" s="207">
        <f t="shared" ref="L83:L93" si="24">+J83-K83</f>
        <v>524.61000000000058</v>
      </c>
      <c r="M83" s="208">
        <f t="shared" si="7"/>
        <v>16.739134849928735</v>
      </c>
      <c r="N83" s="209">
        <f t="shared" si="8"/>
        <v>541.34913484992933</v>
      </c>
      <c r="O83" s="208">
        <v>0</v>
      </c>
      <c r="P83" s="208">
        <v>0</v>
      </c>
      <c r="Q83" s="208">
        <v>0</v>
      </c>
      <c r="R83" s="209">
        <f t="shared" si="9"/>
        <v>541.34913484992933</v>
      </c>
    </row>
    <row r="84" spans="1:18" ht="12" customHeight="1" x14ac:dyDescent="0.2">
      <c r="A84" s="162">
        <v>5</v>
      </c>
      <c r="B84" s="200">
        <f t="shared" si="4"/>
        <v>44317</v>
      </c>
      <c r="C84" s="224">
        <f t="shared" si="23"/>
        <v>44350</v>
      </c>
      <c r="D84" s="224">
        <f t="shared" si="23"/>
        <v>44371</v>
      </c>
      <c r="E84" s="54" t="s">
        <v>9</v>
      </c>
      <c r="F84" s="162">
        <v>9</v>
      </c>
      <c r="G84" s="203">
        <v>34</v>
      </c>
      <c r="H84" s="204">
        <f t="shared" si="5"/>
        <v>870.64</v>
      </c>
      <c r="I84" s="204">
        <f t="shared" si="20"/>
        <v>888.73</v>
      </c>
      <c r="J84" s="205">
        <f t="shared" si="2"/>
        <v>30216.82</v>
      </c>
      <c r="K84" s="206">
        <f t="shared" si="11"/>
        <v>29601.759999999998</v>
      </c>
      <c r="L84" s="207">
        <f t="shared" si="24"/>
        <v>615.06000000000131</v>
      </c>
      <c r="M84" s="208">
        <f t="shared" si="7"/>
        <v>19.625192582675069</v>
      </c>
      <c r="N84" s="209">
        <f t="shared" si="8"/>
        <v>634.68519258267634</v>
      </c>
      <c r="O84" s="208">
        <v>0</v>
      </c>
      <c r="P84" s="208">
        <v>0</v>
      </c>
      <c r="Q84" s="208">
        <v>0</v>
      </c>
      <c r="R84" s="209">
        <f t="shared" si="9"/>
        <v>634.68519258267634</v>
      </c>
    </row>
    <row r="85" spans="1:18" x14ac:dyDescent="0.2">
      <c r="A85" s="162">
        <v>6</v>
      </c>
      <c r="B85" s="200">
        <f t="shared" si="4"/>
        <v>44348</v>
      </c>
      <c r="C85" s="224">
        <f t="shared" si="23"/>
        <v>44383</v>
      </c>
      <c r="D85" s="224">
        <f t="shared" si="23"/>
        <v>44401</v>
      </c>
      <c r="E85" s="54" t="s">
        <v>9</v>
      </c>
      <c r="F85" s="162">
        <v>9</v>
      </c>
      <c r="G85" s="203">
        <v>45</v>
      </c>
      <c r="H85" s="204">
        <f t="shared" ref="H85:H148" si="25">+$K$3</f>
        <v>870.64</v>
      </c>
      <c r="I85" s="204">
        <f t="shared" si="20"/>
        <v>888.73</v>
      </c>
      <c r="J85" s="205">
        <f t="shared" si="2"/>
        <v>39992.85</v>
      </c>
      <c r="K85" s="206">
        <f t="shared" si="11"/>
        <v>39178.800000000003</v>
      </c>
      <c r="L85" s="211">
        <f t="shared" si="24"/>
        <v>814.04999999999563</v>
      </c>
      <c r="M85" s="208">
        <f t="shared" ref="M85:M148" si="26">G85/$G$212*$M$14</f>
        <v>25.974519594717005</v>
      </c>
      <c r="N85" s="209">
        <f t="shared" ref="N85:N148" si="27">SUM(L85:M85)</f>
        <v>840.02451959471261</v>
      </c>
      <c r="O85" s="208">
        <v>0</v>
      </c>
      <c r="P85" s="208">
        <v>0</v>
      </c>
      <c r="Q85" s="208">
        <v>0</v>
      </c>
      <c r="R85" s="209">
        <f t="shared" ref="R85:R148" si="28">+N85-Q85</f>
        <v>840.02451959471261</v>
      </c>
    </row>
    <row r="86" spans="1:18" x14ac:dyDescent="0.2">
      <c r="A86" s="124">
        <v>7</v>
      </c>
      <c r="B86" s="200">
        <f t="shared" si="4"/>
        <v>44378</v>
      </c>
      <c r="C86" s="224">
        <f t="shared" si="23"/>
        <v>44412</v>
      </c>
      <c r="D86" s="224">
        <f t="shared" si="23"/>
        <v>44432</v>
      </c>
      <c r="E86" s="54" t="s">
        <v>9</v>
      </c>
      <c r="F86" s="162">
        <v>9</v>
      </c>
      <c r="G86" s="203">
        <v>48</v>
      </c>
      <c r="H86" s="204">
        <f t="shared" si="25"/>
        <v>870.64</v>
      </c>
      <c r="I86" s="204">
        <f t="shared" si="20"/>
        <v>888.73</v>
      </c>
      <c r="J86" s="205">
        <f t="shared" si="2"/>
        <v>42659.040000000001</v>
      </c>
      <c r="K86" s="212">
        <f t="shared" si="11"/>
        <v>41790.720000000001</v>
      </c>
      <c r="L86" s="211">
        <f t="shared" si="24"/>
        <v>868.31999999999971</v>
      </c>
      <c r="M86" s="208">
        <f t="shared" si="26"/>
        <v>27.706154234364803</v>
      </c>
      <c r="N86" s="209">
        <f t="shared" si="27"/>
        <v>896.02615423436453</v>
      </c>
      <c r="O86" s="208">
        <v>0</v>
      </c>
      <c r="P86" s="208">
        <v>0</v>
      </c>
      <c r="Q86" s="208">
        <v>0</v>
      </c>
      <c r="R86" s="209">
        <f t="shared" si="28"/>
        <v>896.02615423436453</v>
      </c>
    </row>
    <row r="87" spans="1:18" x14ac:dyDescent="0.2">
      <c r="A87" s="162">
        <v>8</v>
      </c>
      <c r="B87" s="200">
        <f t="shared" si="4"/>
        <v>44409</v>
      </c>
      <c r="C87" s="224">
        <f t="shared" si="23"/>
        <v>44442</v>
      </c>
      <c r="D87" s="224">
        <f t="shared" si="23"/>
        <v>44463</v>
      </c>
      <c r="E87" s="54" t="s">
        <v>9</v>
      </c>
      <c r="F87" s="162">
        <v>9</v>
      </c>
      <c r="G87" s="203">
        <v>46</v>
      </c>
      <c r="H87" s="204">
        <f t="shared" si="25"/>
        <v>870.64</v>
      </c>
      <c r="I87" s="204">
        <f t="shared" si="20"/>
        <v>888.73</v>
      </c>
      <c r="J87" s="205">
        <f t="shared" si="2"/>
        <v>40881.58</v>
      </c>
      <c r="K87" s="212">
        <f t="shared" si="11"/>
        <v>40049.440000000002</v>
      </c>
      <c r="L87" s="211">
        <f t="shared" si="24"/>
        <v>832.13999999999942</v>
      </c>
      <c r="M87" s="208">
        <f t="shared" si="26"/>
        <v>26.55173114126627</v>
      </c>
      <c r="N87" s="209">
        <f t="shared" si="27"/>
        <v>858.69173114126568</v>
      </c>
      <c r="O87" s="208">
        <v>0</v>
      </c>
      <c r="P87" s="208">
        <v>0</v>
      </c>
      <c r="Q87" s="208">
        <v>0</v>
      </c>
      <c r="R87" s="209">
        <f t="shared" si="28"/>
        <v>858.69173114126568</v>
      </c>
    </row>
    <row r="88" spans="1:18" x14ac:dyDescent="0.2">
      <c r="A88" s="162">
        <v>9</v>
      </c>
      <c r="B88" s="200">
        <f t="shared" si="4"/>
        <v>44440</v>
      </c>
      <c r="C88" s="224">
        <f t="shared" si="23"/>
        <v>44474</v>
      </c>
      <c r="D88" s="224">
        <f t="shared" si="23"/>
        <v>44494</v>
      </c>
      <c r="E88" s="54" t="s">
        <v>9</v>
      </c>
      <c r="F88" s="162">
        <v>9</v>
      </c>
      <c r="G88" s="203">
        <v>46</v>
      </c>
      <c r="H88" s="204">
        <f t="shared" si="25"/>
        <v>870.64</v>
      </c>
      <c r="I88" s="204">
        <f t="shared" si="20"/>
        <v>888.73</v>
      </c>
      <c r="J88" s="205">
        <f t="shared" si="2"/>
        <v>40881.58</v>
      </c>
      <c r="K88" s="212">
        <f t="shared" si="11"/>
        <v>40049.440000000002</v>
      </c>
      <c r="L88" s="211">
        <f t="shared" si="24"/>
        <v>832.13999999999942</v>
      </c>
      <c r="M88" s="208">
        <f t="shared" si="26"/>
        <v>26.55173114126627</v>
      </c>
      <c r="N88" s="209">
        <f t="shared" si="27"/>
        <v>858.69173114126568</v>
      </c>
      <c r="O88" s="208">
        <v>0</v>
      </c>
      <c r="P88" s="208">
        <v>0</v>
      </c>
      <c r="Q88" s="208">
        <v>0</v>
      </c>
      <c r="R88" s="209">
        <f t="shared" si="28"/>
        <v>858.69173114126568</v>
      </c>
    </row>
    <row r="89" spans="1:18" x14ac:dyDescent="0.2">
      <c r="A89" s="124">
        <v>10</v>
      </c>
      <c r="B89" s="200">
        <f t="shared" si="4"/>
        <v>44470</v>
      </c>
      <c r="C89" s="224">
        <f t="shared" si="23"/>
        <v>44503</v>
      </c>
      <c r="D89" s="224">
        <f t="shared" si="23"/>
        <v>44524</v>
      </c>
      <c r="E89" s="54" t="s">
        <v>9</v>
      </c>
      <c r="F89" s="162">
        <v>9</v>
      </c>
      <c r="G89" s="203">
        <v>41</v>
      </c>
      <c r="H89" s="204">
        <f t="shared" si="25"/>
        <v>870.64</v>
      </c>
      <c r="I89" s="204">
        <f t="shared" si="20"/>
        <v>888.73</v>
      </c>
      <c r="J89" s="205">
        <f t="shared" si="2"/>
        <v>36437.93</v>
      </c>
      <c r="K89" s="212">
        <f t="shared" si="11"/>
        <v>35696.239999999998</v>
      </c>
      <c r="L89" s="211">
        <f t="shared" si="24"/>
        <v>741.69000000000233</v>
      </c>
      <c r="M89" s="208">
        <f t="shared" si="26"/>
        <v>23.665673408519936</v>
      </c>
      <c r="N89" s="209">
        <f t="shared" si="27"/>
        <v>765.35567340852231</v>
      </c>
      <c r="O89" s="208">
        <v>0</v>
      </c>
      <c r="P89" s="208">
        <v>0</v>
      </c>
      <c r="Q89" s="208">
        <v>0</v>
      </c>
      <c r="R89" s="209">
        <f t="shared" si="28"/>
        <v>765.35567340852231</v>
      </c>
    </row>
    <row r="90" spans="1:18" x14ac:dyDescent="0.2">
      <c r="A90" s="162">
        <v>11</v>
      </c>
      <c r="B90" s="200">
        <f t="shared" si="4"/>
        <v>44501</v>
      </c>
      <c r="C90" s="224">
        <f t="shared" si="23"/>
        <v>44533</v>
      </c>
      <c r="D90" s="224">
        <f t="shared" si="23"/>
        <v>44557</v>
      </c>
      <c r="E90" s="54" t="s">
        <v>9</v>
      </c>
      <c r="F90" s="162">
        <v>9</v>
      </c>
      <c r="G90" s="203">
        <v>40</v>
      </c>
      <c r="H90" s="204">
        <f t="shared" si="25"/>
        <v>870.64</v>
      </c>
      <c r="I90" s="204">
        <f t="shared" si="20"/>
        <v>888.73</v>
      </c>
      <c r="J90" s="205">
        <f t="shared" si="2"/>
        <v>35549.199999999997</v>
      </c>
      <c r="K90" s="212">
        <f t="shared" si="11"/>
        <v>34825.599999999999</v>
      </c>
      <c r="L90" s="211">
        <f t="shared" si="24"/>
        <v>723.59999999999854</v>
      </c>
      <c r="M90" s="208">
        <f t="shared" si="26"/>
        <v>23.088461861970668</v>
      </c>
      <c r="N90" s="209">
        <f t="shared" si="27"/>
        <v>746.68846186196924</v>
      </c>
      <c r="O90" s="208">
        <v>0</v>
      </c>
      <c r="P90" s="208">
        <v>0</v>
      </c>
      <c r="Q90" s="208">
        <v>0</v>
      </c>
      <c r="R90" s="209">
        <f t="shared" si="28"/>
        <v>746.68846186196924</v>
      </c>
    </row>
    <row r="91" spans="1:18" s="228" customFormat="1" x14ac:dyDescent="0.2">
      <c r="A91" s="162">
        <v>12</v>
      </c>
      <c r="B91" s="226">
        <f t="shared" si="4"/>
        <v>44531</v>
      </c>
      <c r="C91" s="224">
        <f t="shared" si="23"/>
        <v>44566</v>
      </c>
      <c r="D91" s="224">
        <f t="shared" si="23"/>
        <v>44585</v>
      </c>
      <c r="E91" s="227" t="s">
        <v>9</v>
      </c>
      <c r="F91" s="173">
        <v>9</v>
      </c>
      <c r="G91" s="215">
        <v>39</v>
      </c>
      <c r="H91" s="216">
        <f t="shared" si="25"/>
        <v>870.64</v>
      </c>
      <c r="I91" s="216">
        <f t="shared" si="20"/>
        <v>888.73</v>
      </c>
      <c r="J91" s="217">
        <f t="shared" si="2"/>
        <v>34660.47</v>
      </c>
      <c r="K91" s="218">
        <f t="shared" si="11"/>
        <v>33954.959999999999</v>
      </c>
      <c r="L91" s="219">
        <f t="shared" si="24"/>
        <v>705.51000000000204</v>
      </c>
      <c r="M91" s="208">
        <f t="shared" si="26"/>
        <v>22.511250315421403</v>
      </c>
      <c r="N91" s="209">
        <f t="shared" si="27"/>
        <v>728.02125031542346</v>
      </c>
      <c r="O91" s="208">
        <v>0</v>
      </c>
      <c r="P91" s="208">
        <v>0</v>
      </c>
      <c r="Q91" s="208">
        <v>0</v>
      </c>
      <c r="R91" s="209">
        <f t="shared" si="28"/>
        <v>728.02125031542346</v>
      </c>
    </row>
    <row r="92" spans="1:18" x14ac:dyDescent="0.2">
      <c r="A92" s="124">
        <v>1</v>
      </c>
      <c r="B92" s="200">
        <f t="shared" si="4"/>
        <v>44197</v>
      </c>
      <c r="C92" s="221">
        <f t="shared" ref="C92:D95" si="29">+C80</f>
        <v>44230</v>
      </c>
      <c r="D92" s="221">
        <f t="shared" si="29"/>
        <v>44251</v>
      </c>
      <c r="E92" s="202" t="s">
        <v>8</v>
      </c>
      <c r="F92" s="124">
        <v>9</v>
      </c>
      <c r="G92" s="203">
        <v>76</v>
      </c>
      <c r="H92" s="204">
        <f t="shared" si="25"/>
        <v>870.64</v>
      </c>
      <c r="I92" s="204">
        <f t="shared" si="20"/>
        <v>888.73</v>
      </c>
      <c r="J92" s="205">
        <f t="shared" si="2"/>
        <v>67543.48</v>
      </c>
      <c r="K92" s="206">
        <f t="shared" si="11"/>
        <v>66168.639999999999</v>
      </c>
      <c r="L92" s="207">
        <f t="shared" si="24"/>
        <v>1374.8399999999965</v>
      </c>
      <c r="M92" s="208">
        <f t="shared" si="26"/>
        <v>43.86807753774427</v>
      </c>
      <c r="N92" s="209">
        <f t="shared" si="27"/>
        <v>1418.7080775377408</v>
      </c>
      <c r="O92" s="208">
        <v>0</v>
      </c>
      <c r="P92" s="208">
        <v>0</v>
      </c>
      <c r="Q92" s="208">
        <v>0</v>
      </c>
      <c r="R92" s="209">
        <f t="shared" si="28"/>
        <v>1418.7080775377408</v>
      </c>
    </row>
    <row r="93" spans="1:18" x14ac:dyDescent="0.2">
      <c r="A93" s="162">
        <v>2</v>
      </c>
      <c r="B93" s="200">
        <f t="shared" si="4"/>
        <v>44228</v>
      </c>
      <c r="C93" s="224">
        <f t="shared" si="29"/>
        <v>44258</v>
      </c>
      <c r="D93" s="224">
        <f t="shared" si="29"/>
        <v>44279</v>
      </c>
      <c r="E93" s="210" t="s">
        <v>8</v>
      </c>
      <c r="F93" s="162">
        <v>9</v>
      </c>
      <c r="G93" s="203">
        <v>99</v>
      </c>
      <c r="H93" s="204">
        <f t="shared" si="25"/>
        <v>870.64</v>
      </c>
      <c r="I93" s="204">
        <f t="shared" si="20"/>
        <v>888.73</v>
      </c>
      <c r="J93" s="205">
        <f t="shared" si="2"/>
        <v>87984.27</v>
      </c>
      <c r="K93" s="206">
        <f t="shared" si="11"/>
        <v>86193.36</v>
      </c>
      <c r="L93" s="207">
        <f t="shared" si="24"/>
        <v>1790.9100000000035</v>
      </c>
      <c r="M93" s="208">
        <f t="shared" si="26"/>
        <v>57.143943108377414</v>
      </c>
      <c r="N93" s="209">
        <f t="shared" si="27"/>
        <v>1848.053943108381</v>
      </c>
      <c r="O93" s="208">
        <v>0</v>
      </c>
      <c r="P93" s="208">
        <v>0</v>
      </c>
      <c r="Q93" s="208">
        <v>0</v>
      </c>
      <c r="R93" s="209">
        <f t="shared" si="28"/>
        <v>1848.053943108381</v>
      </c>
    </row>
    <row r="94" spans="1:18" x14ac:dyDescent="0.2">
      <c r="A94" s="162">
        <v>3</v>
      </c>
      <c r="B94" s="200">
        <f t="shared" si="4"/>
        <v>44256</v>
      </c>
      <c r="C94" s="224">
        <f t="shared" si="29"/>
        <v>44291</v>
      </c>
      <c r="D94" s="224">
        <f t="shared" si="29"/>
        <v>44312</v>
      </c>
      <c r="E94" s="210" t="s">
        <v>8</v>
      </c>
      <c r="F94" s="162">
        <v>9</v>
      </c>
      <c r="G94" s="203">
        <v>66</v>
      </c>
      <c r="H94" s="204">
        <f t="shared" si="25"/>
        <v>870.64</v>
      </c>
      <c r="I94" s="204">
        <f t="shared" si="20"/>
        <v>888.73</v>
      </c>
      <c r="J94" s="205">
        <f t="shared" si="2"/>
        <v>58656.18</v>
      </c>
      <c r="K94" s="206">
        <f t="shared" ref="K94:K133" si="30">+$G94*H94</f>
        <v>57462.239999999998</v>
      </c>
      <c r="L94" s="207">
        <f>+J94-K94</f>
        <v>1193.9400000000023</v>
      </c>
      <c r="M94" s="208">
        <f t="shared" si="26"/>
        <v>38.095962072251602</v>
      </c>
      <c r="N94" s="209">
        <f t="shared" si="27"/>
        <v>1232.0359620722538</v>
      </c>
      <c r="O94" s="208">
        <v>0</v>
      </c>
      <c r="P94" s="208">
        <v>0</v>
      </c>
      <c r="Q94" s="208">
        <v>0</v>
      </c>
      <c r="R94" s="209">
        <f t="shared" si="28"/>
        <v>1232.0359620722538</v>
      </c>
    </row>
    <row r="95" spans="1:18" x14ac:dyDescent="0.2">
      <c r="A95" s="124">
        <v>4</v>
      </c>
      <c r="B95" s="200">
        <f t="shared" si="4"/>
        <v>44287</v>
      </c>
      <c r="C95" s="224">
        <f t="shared" si="29"/>
        <v>44321</v>
      </c>
      <c r="D95" s="224">
        <f t="shared" si="29"/>
        <v>44340</v>
      </c>
      <c r="E95" s="210" t="s">
        <v>8</v>
      </c>
      <c r="F95" s="162">
        <v>9</v>
      </c>
      <c r="G95" s="203">
        <v>67</v>
      </c>
      <c r="H95" s="204">
        <f t="shared" si="25"/>
        <v>870.64</v>
      </c>
      <c r="I95" s="204">
        <f t="shared" si="20"/>
        <v>888.73</v>
      </c>
      <c r="J95" s="205">
        <f t="shared" si="2"/>
        <v>59544.91</v>
      </c>
      <c r="K95" s="206">
        <f t="shared" si="30"/>
        <v>58332.88</v>
      </c>
      <c r="L95" s="207">
        <f t="shared" ref="L95:L105" si="31">+J95-K95</f>
        <v>1212.0300000000061</v>
      </c>
      <c r="M95" s="208">
        <f t="shared" si="26"/>
        <v>38.673173618800867</v>
      </c>
      <c r="N95" s="209">
        <f t="shared" si="27"/>
        <v>1250.7031736188069</v>
      </c>
      <c r="O95" s="208">
        <v>0</v>
      </c>
      <c r="P95" s="208">
        <v>0</v>
      </c>
      <c r="Q95" s="208">
        <v>0</v>
      </c>
      <c r="R95" s="209">
        <f t="shared" si="28"/>
        <v>1250.7031736188069</v>
      </c>
    </row>
    <row r="96" spans="1:18" x14ac:dyDescent="0.2">
      <c r="A96" s="162">
        <v>5</v>
      </c>
      <c r="B96" s="200">
        <f t="shared" si="4"/>
        <v>44317</v>
      </c>
      <c r="C96" s="224">
        <f t="shared" ref="C96:D116" si="32">+C84</f>
        <v>44350</v>
      </c>
      <c r="D96" s="224">
        <f t="shared" si="32"/>
        <v>44371</v>
      </c>
      <c r="E96" s="54" t="s">
        <v>8</v>
      </c>
      <c r="F96" s="162">
        <v>9</v>
      </c>
      <c r="G96" s="203">
        <v>101</v>
      </c>
      <c r="H96" s="204">
        <f t="shared" si="25"/>
        <v>870.64</v>
      </c>
      <c r="I96" s="204">
        <f t="shared" si="20"/>
        <v>888.73</v>
      </c>
      <c r="J96" s="205">
        <f t="shared" si="2"/>
        <v>89761.73</v>
      </c>
      <c r="K96" s="206">
        <f t="shared" si="30"/>
        <v>87934.64</v>
      </c>
      <c r="L96" s="207">
        <f t="shared" si="31"/>
        <v>1827.0899999999965</v>
      </c>
      <c r="M96" s="208">
        <f t="shared" si="26"/>
        <v>58.298366201475943</v>
      </c>
      <c r="N96" s="209">
        <f t="shared" si="27"/>
        <v>1885.3883662014725</v>
      </c>
      <c r="O96" s="208">
        <v>0</v>
      </c>
      <c r="P96" s="208">
        <v>0</v>
      </c>
      <c r="Q96" s="208">
        <v>0</v>
      </c>
      <c r="R96" s="209">
        <f t="shared" si="28"/>
        <v>1885.3883662014725</v>
      </c>
    </row>
    <row r="97" spans="1:18" x14ac:dyDescent="0.2">
      <c r="A97" s="162">
        <v>6</v>
      </c>
      <c r="B97" s="200">
        <f t="shared" si="4"/>
        <v>44348</v>
      </c>
      <c r="C97" s="224">
        <f t="shared" si="32"/>
        <v>44383</v>
      </c>
      <c r="D97" s="224">
        <f t="shared" si="32"/>
        <v>44401</v>
      </c>
      <c r="E97" s="54" t="s">
        <v>8</v>
      </c>
      <c r="F97" s="162">
        <v>9</v>
      </c>
      <c r="G97" s="203">
        <v>141</v>
      </c>
      <c r="H97" s="204">
        <f t="shared" si="25"/>
        <v>870.64</v>
      </c>
      <c r="I97" s="204">
        <f t="shared" si="20"/>
        <v>888.73</v>
      </c>
      <c r="J97" s="205">
        <f t="shared" si="2"/>
        <v>125310.93000000001</v>
      </c>
      <c r="K97" s="206">
        <f t="shared" si="30"/>
        <v>122760.24</v>
      </c>
      <c r="L97" s="211">
        <f t="shared" si="31"/>
        <v>2550.6900000000023</v>
      </c>
      <c r="M97" s="208">
        <f t="shared" si="26"/>
        <v>81.386828063446615</v>
      </c>
      <c r="N97" s="209">
        <f t="shared" si="27"/>
        <v>2632.0768280634488</v>
      </c>
      <c r="O97" s="208">
        <v>0</v>
      </c>
      <c r="P97" s="208">
        <v>0</v>
      </c>
      <c r="Q97" s="208">
        <v>0</v>
      </c>
      <c r="R97" s="209">
        <f t="shared" si="28"/>
        <v>2632.0768280634488</v>
      </c>
    </row>
    <row r="98" spans="1:18" x14ac:dyDescent="0.2">
      <c r="A98" s="124">
        <v>7</v>
      </c>
      <c r="B98" s="200">
        <f t="shared" si="4"/>
        <v>44378</v>
      </c>
      <c r="C98" s="224">
        <f t="shared" si="32"/>
        <v>44412</v>
      </c>
      <c r="D98" s="224">
        <f t="shared" si="32"/>
        <v>44432</v>
      </c>
      <c r="E98" s="54" t="s">
        <v>8</v>
      </c>
      <c r="F98" s="162">
        <v>9</v>
      </c>
      <c r="G98" s="203">
        <v>145</v>
      </c>
      <c r="H98" s="204">
        <f t="shared" si="25"/>
        <v>870.64</v>
      </c>
      <c r="I98" s="204">
        <f t="shared" si="20"/>
        <v>888.73</v>
      </c>
      <c r="J98" s="205">
        <f t="shared" si="2"/>
        <v>128865.85</v>
      </c>
      <c r="K98" s="212">
        <f t="shared" si="30"/>
        <v>126242.8</v>
      </c>
      <c r="L98" s="211">
        <f t="shared" si="31"/>
        <v>2623.0500000000029</v>
      </c>
      <c r="M98" s="208">
        <f t="shared" si="26"/>
        <v>83.695674249643687</v>
      </c>
      <c r="N98" s="209">
        <f t="shared" si="27"/>
        <v>2706.7456742496465</v>
      </c>
      <c r="O98" s="208">
        <v>0</v>
      </c>
      <c r="P98" s="208">
        <v>0</v>
      </c>
      <c r="Q98" s="208">
        <v>0</v>
      </c>
      <c r="R98" s="209">
        <f t="shared" si="28"/>
        <v>2706.7456742496465</v>
      </c>
    </row>
    <row r="99" spans="1:18" x14ac:dyDescent="0.2">
      <c r="A99" s="162">
        <v>8</v>
      </c>
      <c r="B99" s="200">
        <f t="shared" si="4"/>
        <v>44409</v>
      </c>
      <c r="C99" s="224">
        <f t="shared" si="32"/>
        <v>44442</v>
      </c>
      <c r="D99" s="224">
        <f t="shared" si="32"/>
        <v>44463</v>
      </c>
      <c r="E99" s="54" t="s">
        <v>8</v>
      </c>
      <c r="F99" s="162">
        <v>9</v>
      </c>
      <c r="G99" s="203">
        <v>149</v>
      </c>
      <c r="H99" s="204">
        <f t="shared" si="25"/>
        <v>870.64</v>
      </c>
      <c r="I99" s="204">
        <f t="shared" si="20"/>
        <v>888.73</v>
      </c>
      <c r="J99" s="205">
        <f t="shared" si="2"/>
        <v>132420.76999999999</v>
      </c>
      <c r="K99" s="212">
        <f t="shared" si="30"/>
        <v>129725.36</v>
      </c>
      <c r="L99" s="211">
        <f t="shared" si="31"/>
        <v>2695.4099999999889</v>
      </c>
      <c r="M99" s="208">
        <f t="shared" si="26"/>
        <v>86.004520435840746</v>
      </c>
      <c r="N99" s="209">
        <f t="shared" si="27"/>
        <v>2781.4145204358297</v>
      </c>
      <c r="O99" s="208">
        <v>0</v>
      </c>
      <c r="P99" s="208">
        <v>0</v>
      </c>
      <c r="Q99" s="208">
        <v>0</v>
      </c>
      <c r="R99" s="209">
        <f t="shared" si="28"/>
        <v>2781.4145204358297</v>
      </c>
    </row>
    <row r="100" spans="1:18" x14ac:dyDescent="0.2">
      <c r="A100" s="162">
        <v>9</v>
      </c>
      <c r="B100" s="200">
        <f t="shared" si="4"/>
        <v>44440</v>
      </c>
      <c r="C100" s="224">
        <f t="shared" si="32"/>
        <v>44474</v>
      </c>
      <c r="D100" s="224">
        <f t="shared" si="32"/>
        <v>44494</v>
      </c>
      <c r="E100" s="54" t="s">
        <v>8</v>
      </c>
      <c r="F100" s="162">
        <v>9</v>
      </c>
      <c r="G100" s="203">
        <v>150</v>
      </c>
      <c r="H100" s="204">
        <f t="shared" si="25"/>
        <v>870.64</v>
      </c>
      <c r="I100" s="204">
        <f t="shared" si="20"/>
        <v>888.73</v>
      </c>
      <c r="J100" s="205">
        <f t="shared" si="2"/>
        <v>133309.5</v>
      </c>
      <c r="K100" s="212">
        <f t="shared" si="30"/>
        <v>130596</v>
      </c>
      <c r="L100" s="211">
        <f t="shared" si="31"/>
        <v>2713.5</v>
      </c>
      <c r="M100" s="208">
        <f t="shared" si="26"/>
        <v>86.581731982390011</v>
      </c>
      <c r="N100" s="209">
        <f t="shared" si="27"/>
        <v>2800.08173198239</v>
      </c>
      <c r="O100" s="208">
        <v>0</v>
      </c>
      <c r="P100" s="208">
        <v>0</v>
      </c>
      <c r="Q100" s="208">
        <v>0</v>
      </c>
      <c r="R100" s="209">
        <f t="shared" si="28"/>
        <v>2800.08173198239</v>
      </c>
    </row>
    <row r="101" spans="1:18" x14ac:dyDescent="0.2">
      <c r="A101" s="124">
        <v>10</v>
      </c>
      <c r="B101" s="200">
        <f t="shared" si="4"/>
        <v>44470</v>
      </c>
      <c r="C101" s="224">
        <f t="shared" si="32"/>
        <v>44503</v>
      </c>
      <c r="D101" s="224">
        <f t="shared" si="32"/>
        <v>44524</v>
      </c>
      <c r="E101" s="54" t="s">
        <v>8</v>
      </c>
      <c r="F101" s="162">
        <v>9</v>
      </c>
      <c r="G101" s="203">
        <v>114</v>
      </c>
      <c r="H101" s="204">
        <f t="shared" si="25"/>
        <v>870.64</v>
      </c>
      <c r="I101" s="204">
        <f t="shared" si="20"/>
        <v>888.73</v>
      </c>
      <c r="J101" s="205">
        <f t="shared" si="2"/>
        <v>101315.22</v>
      </c>
      <c r="K101" s="212">
        <f t="shared" si="30"/>
        <v>99252.959999999992</v>
      </c>
      <c r="L101" s="211">
        <f t="shared" si="31"/>
        <v>2062.2600000000093</v>
      </c>
      <c r="M101" s="208">
        <f t="shared" si="26"/>
        <v>65.802116306616412</v>
      </c>
      <c r="N101" s="209">
        <f t="shared" si="27"/>
        <v>2128.0621163066257</v>
      </c>
      <c r="O101" s="208">
        <v>0</v>
      </c>
      <c r="P101" s="208">
        <v>0</v>
      </c>
      <c r="Q101" s="208">
        <v>0</v>
      </c>
      <c r="R101" s="209">
        <f t="shared" si="28"/>
        <v>2128.0621163066257</v>
      </c>
    </row>
    <row r="102" spans="1:18" x14ac:dyDescent="0.2">
      <c r="A102" s="162">
        <v>11</v>
      </c>
      <c r="B102" s="200">
        <f t="shared" si="4"/>
        <v>44501</v>
      </c>
      <c r="C102" s="224">
        <f t="shared" si="32"/>
        <v>44533</v>
      </c>
      <c r="D102" s="224">
        <f t="shared" si="32"/>
        <v>44557</v>
      </c>
      <c r="E102" s="54" t="s">
        <v>8</v>
      </c>
      <c r="F102" s="162">
        <v>9</v>
      </c>
      <c r="G102" s="203">
        <v>66</v>
      </c>
      <c r="H102" s="204">
        <f t="shared" si="25"/>
        <v>870.64</v>
      </c>
      <c r="I102" s="204">
        <f t="shared" si="20"/>
        <v>888.73</v>
      </c>
      <c r="J102" s="205">
        <f t="shared" si="2"/>
        <v>58656.18</v>
      </c>
      <c r="K102" s="212">
        <f t="shared" si="30"/>
        <v>57462.239999999998</v>
      </c>
      <c r="L102" s="211">
        <f t="shared" si="31"/>
        <v>1193.9400000000023</v>
      </c>
      <c r="M102" s="208">
        <f t="shared" si="26"/>
        <v>38.095962072251602</v>
      </c>
      <c r="N102" s="209">
        <f t="shared" si="27"/>
        <v>1232.0359620722538</v>
      </c>
      <c r="O102" s="208">
        <v>0</v>
      </c>
      <c r="P102" s="208">
        <v>0</v>
      </c>
      <c r="Q102" s="208">
        <v>0</v>
      </c>
      <c r="R102" s="209">
        <f t="shared" si="28"/>
        <v>1232.0359620722538</v>
      </c>
    </row>
    <row r="103" spans="1:18" s="228" customFormat="1" x14ac:dyDescent="0.2">
      <c r="A103" s="162">
        <v>12</v>
      </c>
      <c r="B103" s="226">
        <f t="shared" si="4"/>
        <v>44531</v>
      </c>
      <c r="C103" s="224">
        <f t="shared" si="32"/>
        <v>44566</v>
      </c>
      <c r="D103" s="224">
        <f t="shared" si="32"/>
        <v>44585</v>
      </c>
      <c r="E103" s="227" t="s">
        <v>8</v>
      </c>
      <c r="F103" s="173">
        <v>9</v>
      </c>
      <c r="G103" s="215">
        <v>72</v>
      </c>
      <c r="H103" s="216">
        <f t="shared" si="25"/>
        <v>870.64</v>
      </c>
      <c r="I103" s="216">
        <f t="shared" si="20"/>
        <v>888.73</v>
      </c>
      <c r="J103" s="217">
        <f t="shared" si="2"/>
        <v>63988.56</v>
      </c>
      <c r="K103" s="218">
        <f t="shared" si="30"/>
        <v>62686.080000000002</v>
      </c>
      <c r="L103" s="219">
        <f t="shared" si="31"/>
        <v>1302.4799999999959</v>
      </c>
      <c r="M103" s="208">
        <f t="shared" si="26"/>
        <v>41.559231351547204</v>
      </c>
      <c r="N103" s="209">
        <f t="shared" si="27"/>
        <v>1344.0392313515431</v>
      </c>
      <c r="O103" s="208">
        <v>0</v>
      </c>
      <c r="P103" s="208">
        <v>0</v>
      </c>
      <c r="Q103" s="208">
        <v>0</v>
      </c>
      <c r="R103" s="209">
        <f t="shared" si="28"/>
        <v>1344.0392313515431</v>
      </c>
    </row>
    <row r="104" spans="1:18" x14ac:dyDescent="0.2">
      <c r="A104" s="124">
        <v>1</v>
      </c>
      <c r="B104" s="200">
        <f t="shared" si="4"/>
        <v>44197</v>
      </c>
      <c r="C104" s="221">
        <f t="shared" si="32"/>
        <v>44230</v>
      </c>
      <c r="D104" s="221">
        <f t="shared" si="32"/>
        <v>44251</v>
      </c>
      <c r="E104" s="202" t="s">
        <v>19</v>
      </c>
      <c r="F104" s="124">
        <v>9</v>
      </c>
      <c r="G104" s="203">
        <v>37</v>
      </c>
      <c r="H104" s="204">
        <f t="shared" si="25"/>
        <v>870.64</v>
      </c>
      <c r="I104" s="204">
        <f t="shared" si="20"/>
        <v>888.73</v>
      </c>
      <c r="J104" s="205">
        <f t="shared" si="2"/>
        <v>32883.01</v>
      </c>
      <c r="K104" s="206">
        <f t="shared" si="30"/>
        <v>32213.68</v>
      </c>
      <c r="L104" s="207">
        <f t="shared" si="31"/>
        <v>669.33000000000175</v>
      </c>
      <c r="M104" s="208">
        <f t="shared" si="26"/>
        <v>21.35682722232287</v>
      </c>
      <c r="N104" s="209">
        <f t="shared" si="27"/>
        <v>690.68682722232461</v>
      </c>
      <c r="O104" s="208">
        <v>0</v>
      </c>
      <c r="P104" s="208">
        <v>0</v>
      </c>
      <c r="Q104" s="208">
        <v>0</v>
      </c>
      <c r="R104" s="209">
        <f t="shared" si="28"/>
        <v>690.68682722232461</v>
      </c>
    </row>
    <row r="105" spans="1:18" x14ac:dyDescent="0.2">
      <c r="A105" s="162">
        <v>2</v>
      </c>
      <c r="B105" s="200">
        <f t="shared" si="4"/>
        <v>44228</v>
      </c>
      <c r="C105" s="224">
        <f t="shared" si="32"/>
        <v>44258</v>
      </c>
      <c r="D105" s="224">
        <f t="shared" si="32"/>
        <v>44279</v>
      </c>
      <c r="E105" s="210" t="s">
        <v>19</v>
      </c>
      <c r="F105" s="162">
        <v>9</v>
      </c>
      <c r="G105" s="203">
        <v>33</v>
      </c>
      <c r="H105" s="204">
        <f t="shared" si="25"/>
        <v>870.64</v>
      </c>
      <c r="I105" s="204">
        <f t="shared" si="20"/>
        <v>888.73</v>
      </c>
      <c r="J105" s="205">
        <f t="shared" si="2"/>
        <v>29328.09</v>
      </c>
      <c r="K105" s="206">
        <f t="shared" si="30"/>
        <v>28731.119999999999</v>
      </c>
      <c r="L105" s="207">
        <f t="shared" si="31"/>
        <v>596.97000000000116</v>
      </c>
      <c r="M105" s="208">
        <f t="shared" si="26"/>
        <v>19.047981036125801</v>
      </c>
      <c r="N105" s="209">
        <f t="shared" si="27"/>
        <v>616.01798103612691</v>
      </c>
      <c r="O105" s="208">
        <v>0</v>
      </c>
      <c r="P105" s="208">
        <v>0</v>
      </c>
      <c r="Q105" s="208">
        <v>0</v>
      </c>
      <c r="R105" s="209">
        <f t="shared" si="28"/>
        <v>616.01798103612691</v>
      </c>
    </row>
    <row r="106" spans="1:18" x14ac:dyDescent="0.2">
      <c r="A106" s="162">
        <v>3</v>
      </c>
      <c r="B106" s="200">
        <f t="shared" si="4"/>
        <v>44256</v>
      </c>
      <c r="C106" s="224">
        <f t="shared" si="32"/>
        <v>44291</v>
      </c>
      <c r="D106" s="224">
        <f t="shared" si="32"/>
        <v>44312</v>
      </c>
      <c r="E106" s="210" t="s">
        <v>19</v>
      </c>
      <c r="F106" s="162">
        <v>9</v>
      </c>
      <c r="G106" s="203">
        <v>47</v>
      </c>
      <c r="H106" s="204">
        <f t="shared" si="25"/>
        <v>870.64</v>
      </c>
      <c r="I106" s="204">
        <f t="shared" si="20"/>
        <v>888.73</v>
      </c>
      <c r="J106" s="205">
        <f t="shared" si="2"/>
        <v>41770.31</v>
      </c>
      <c r="K106" s="206">
        <f t="shared" si="30"/>
        <v>40920.080000000002</v>
      </c>
      <c r="L106" s="207">
        <f>+J106-K106</f>
        <v>850.22999999999593</v>
      </c>
      <c r="M106" s="208">
        <f t="shared" si="26"/>
        <v>27.128942687815538</v>
      </c>
      <c r="N106" s="209">
        <f t="shared" si="27"/>
        <v>877.35894268781146</v>
      </c>
      <c r="O106" s="208">
        <v>0</v>
      </c>
      <c r="P106" s="208">
        <v>0</v>
      </c>
      <c r="Q106" s="208">
        <v>0</v>
      </c>
      <c r="R106" s="209">
        <f t="shared" si="28"/>
        <v>877.35894268781146</v>
      </c>
    </row>
    <row r="107" spans="1:18" x14ac:dyDescent="0.2">
      <c r="A107" s="124">
        <v>4</v>
      </c>
      <c r="B107" s="200">
        <f t="shared" si="4"/>
        <v>44287</v>
      </c>
      <c r="C107" s="224">
        <f t="shared" si="32"/>
        <v>44321</v>
      </c>
      <c r="D107" s="224">
        <f t="shared" si="32"/>
        <v>44340</v>
      </c>
      <c r="E107" s="54" t="s">
        <v>19</v>
      </c>
      <c r="F107" s="162">
        <v>9</v>
      </c>
      <c r="G107" s="203">
        <v>39</v>
      </c>
      <c r="H107" s="204">
        <f t="shared" si="25"/>
        <v>870.64</v>
      </c>
      <c r="I107" s="204">
        <f t="shared" si="20"/>
        <v>888.73</v>
      </c>
      <c r="J107" s="205">
        <f t="shared" si="2"/>
        <v>34660.47</v>
      </c>
      <c r="K107" s="206">
        <f t="shared" si="30"/>
        <v>33954.959999999999</v>
      </c>
      <c r="L107" s="207">
        <f t="shared" ref="L107:L115" si="33">+J107-K107</f>
        <v>705.51000000000204</v>
      </c>
      <c r="M107" s="208">
        <f t="shared" si="26"/>
        <v>22.511250315421403</v>
      </c>
      <c r="N107" s="209">
        <f t="shared" si="27"/>
        <v>728.02125031542346</v>
      </c>
      <c r="O107" s="208">
        <v>0</v>
      </c>
      <c r="P107" s="208">
        <v>0</v>
      </c>
      <c r="Q107" s="208">
        <v>0</v>
      </c>
      <c r="R107" s="209">
        <f t="shared" si="28"/>
        <v>728.02125031542346</v>
      </c>
    </row>
    <row r="108" spans="1:18" x14ac:dyDescent="0.2">
      <c r="A108" s="162">
        <v>5</v>
      </c>
      <c r="B108" s="200">
        <f t="shared" si="4"/>
        <v>44317</v>
      </c>
      <c r="C108" s="224">
        <f t="shared" si="32"/>
        <v>44350</v>
      </c>
      <c r="D108" s="224">
        <f t="shared" si="32"/>
        <v>44371</v>
      </c>
      <c r="E108" s="54" t="s">
        <v>19</v>
      </c>
      <c r="F108" s="162">
        <v>9</v>
      </c>
      <c r="G108" s="203">
        <v>46</v>
      </c>
      <c r="H108" s="204">
        <f t="shared" si="25"/>
        <v>870.64</v>
      </c>
      <c r="I108" s="204">
        <f t="shared" ref="I108:I127" si="34">$J$3</f>
        <v>888.73</v>
      </c>
      <c r="J108" s="205">
        <f t="shared" si="2"/>
        <v>40881.58</v>
      </c>
      <c r="K108" s="206">
        <f t="shared" si="30"/>
        <v>40049.440000000002</v>
      </c>
      <c r="L108" s="207">
        <f t="shared" si="33"/>
        <v>832.13999999999942</v>
      </c>
      <c r="M108" s="208">
        <f t="shared" si="26"/>
        <v>26.55173114126627</v>
      </c>
      <c r="N108" s="209">
        <f t="shared" si="27"/>
        <v>858.69173114126568</v>
      </c>
      <c r="O108" s="208">
        <v>0</v>
      </c>
      <c r="P108" s="208">
        <v>0</v>
      </c>
      <c r="Q108" s="208">
        <v>0</v>
      </c>
      <c r="R108" s="209">
        <f t="shared" si="28"/>
        <v>858.69173114126568</v>
      </c>
    </row>
    <row r="109" spans="1:18" x14ac:dyDescent="0.2">
      <c r="A109" s="162">
        <v>6</v>
      </c>
      <c r="B109" s="200">
        <f t="shared" ref="B109:B148" si="35">DATE($R$1,A109,1)</f>
        <v>44348</v>
      </c>
      <c r="C109" s="224">
        <f t="shared" si="32"/>
        <v>44383</v>
      </c>
      <c r="D109" s="224">
        <f t="shared" si="32"/>
        <v>44401</v>
      </c>
      <c r="E109" s="54" t="s">
        <v>19</v>
      </c>
      <c r="F109" s="162">
        <v>9</v>
      </c>
      <c r="G109" s="203">
        <v>51</v>
      </c>
      <c r="H109" s="204">
        <f t="shared" si="25"/>
        <v>870.64</v>
      </c>
      <c r="I109" s="204">
        <f t="shared" si="34"/>
        <v>888.73</v>
      </c>
      <c r="J109" s="205">
        <f t="shared" ref="J109:J148" si="36">+$G109*I109</f>
        <v>45325.23</v>
      </c>
      <c r="K109" s="206">
        <f t="shared" si="30"/>
        <v>44402.64</v>
      </c>
      <c r="L109" s="211">
        <f t="shared" si="33"/>
        <v>922.59000000000378</v>
      </c>
      <c r="M109" s="208">
        <f t="shared" si="26"/>
        <v>29.437788874012607</v>
      </c>
      <c r="N109" s="209">
        <f t="shared" si="27"/>
        <v>952.02778887401644</v>
      </c>
      <c r="O109" s="208">
        <v>0</v>
      </c>
      <c r="P109" s="208">
        <v>0</v>
      </c>
      <c r="Q109" s="208">
        <v>0</v>
      </c>
      <c r="R109" s="209">
        <f t="shared" si="28"/>
        <v>952.02778887401644</v>
      </c>
    </row>
    <row r="110" spans="1:18" x14ac:dyDescent="0.2">
      <c r="A110" s="124">
        <v>7</v>
      </c>
      <c r="B110" s="200">
        <f t="shared" si="35"/>
        <v>44378</v>
      </c>
      <c r="C110" s="224">
        <f t="shared" si="32"/>
        <v>44412</v>
      </c>
      <c r="D110" s="224">
        <f t="shared" si="32"/>
        <v>44432</v>
      </c>
      <c r="E110" s="54" t="s">
        <v>19</v>
      </c>
      <c r="F110" s="162">
        <v>9</v>
      </c>
      <c r="G110" s="203">
        <v>46</v>
      </c>
      <c r="H110" s="204">
        <f t="shared" si="25"/>
        <v>870.64</v>
      </c>
      <c r="I110" s="204">
        <f t="shared" si="34"/>
        <v>888.73</v>
      </c>
      <c r="J110" s="205">
        <f t="shared" si="36"/>
        <v>40881.58</v>
      </c>
      <c r="K110" s="212">
        <f t="shared" si="30"/>
        <v>40049.440000000002</v>
      </c>
      <c r="L110" s="211">
        <f t="shared" si="33"/>
        <v>832.13999999999942</v>
      </c>
      <c r="M110" s="208">
        <f t="shared" si="26"/>
        <v>26.55173114126627</v>
      </c>
      <c r="N110" s="209">
        <f t="shared" si="27"/>
        <v>858.69173114126568</v>
      </c>
      <c r="O110" s="208">
        <v>0</v>
      </c>
      <c r="P110" s="208">
        <v>0</v>
      </c>
      <c r="Q110" s="208">
        <v>0</v>
      </c>
      <c r="R110" s="209">
        <f t="shared" si="28"/>
        <v>858.69173114126568</v>
      </c>
    </row>
    <row r="111" spans="1:18" x14ac:dyDescent="0.2">
      <c r="A111" s="162">
        <v>8</v>
      </c>
      <c r="B111" s="200">
        <f t="shared" si="35"/>
        <v>44409</v>
      </c>
      <c r="C111" s="224">
        <f t="shared" si="32"/>
        <v>44442</v>
      </c>
      <c r="D111" s="224">
        <f t="shared" si="32"/>
        <v>44463</v>
      </c>
      <c r="E111" s="54" t="s">
        <v>19</v>
      </c>
      <c r="F111" s="162">
        <v>9</v>
      </c>
      <c r="G111" s="203">
        <v>50</v>
      </c>
      <c r="H111" s="204">
        <f t="shared" si="25"/>
        <v>870.64</v>
      </c>
      <c r="I111" s="204">
        <f t="shared" si="34"/>
        <v>888.73</v>
      </c>
      <c r="J111" s="205">
        <f t="shared" si="36"/>
        <v>44436.5</v>
      </c>
      <c r="K111" s="212">
        <f t="shared" si="30"/>
        <v>43532</v>
      </c>
      <c r="L111" s="211">
        <f t="shared" si="33"/>
        <v>904.5</v>
      </c>
      <c r="M111" s="208">
        <f t="shared" si="26"/>
        <v>28.860577327463339</v>
      </c>
      <c r="N111" s="209">
        <f t="shared" si="27"/>
        <v>933.36057732746337</v>
      </c>
      <c r="O111" s="208">
        <v>0</v>
      </c>
      <c r="P111" s="208">
        <v>0</v>
      </c>
      <c r="Q111" s="208">
        <v>0</v>
      </c>
      <c r="R111" s="209">
        <f t="shared" si="28"/>
        <v>933.36057732746337</v>
      </c>
    </row>
    <row r="112" spans="1:18" x14ac:dyDescent="0.2">
      <c r="A112" s="162">
        <v>9</v>
      </c>
      <c r="B112" s="200">
        <f t="shared" si="35"/>
        <v>44440</v>
      </c>
      <c r="C112" s="224">
        <f t="shared" si="32"/>
        <v>44474</v>
      </c>
      <c r="D112" s="224">
        <f t="shared" si="32"/>
        <v>44494</v>
      </c>
      <c r="E112" s="54" t="s">
        <v>19</v>
      </c>
      <c r="F112" s="162">
        <v>9</v>
      </c>
      <c r="G112" s="203">
        <v>45</v>
      </c>
      <c r="H112" s="204">
        <f t="shared" si="25"/>
        <v>870.64</v>
      </c>
      <c r="I112" s="204">
        <f t="shared" si="34"/>
        <v>888.73</v>
      </c>
      <c r="J112" s="205">
        <f t="shared" si="36"/>
        <v>39992.85</v>
      </c>
      <c r="K112" s="212">
        <f t="shared" si="30"/>
        <v>39178.800000000003</v>
      </c>
      <c r="L112" s="211">
        <f t="shared" si="33"/>
        <v>814.04999999999563</v>
      </c>
      <c r="M112" s="208">
        <f t="shared" si="26"/>
        <v>25.974519594717005</v>
      </c>
      <c r="N112" s="209">
        <f t="shared" si="27"/>
        <v>840.02451959471261</v>
      </c>
      <c r="O112" s="208">
        <v>0</v>
      </c>
      <c r="P112" s="208">
        <v>0</v>
      </c>
      <c r="Q112" s="208">
        <v>0</v>
      </c>
      <c r="R112" s="209">
        <f t="shared" si="28"/>
        <v>840.02451959471261</v>
      </c>
    </row>
    <row r="113" spans="1:18" x14ac:dyDescent="0.2">
      <c r="A113" s="124">
        <v>10</v>
      </c>
      <c r="B113" s="200">
        <f t="shared" si="35"/>
        <v>44470</v>
      </c>
      <c r="C113" s="224">
        <f t="shared" si="32"/>
        <v>44503</v>
      </c>
      <c r="D113" s="224">
        <f t="shared" si="32"/>
        <v>44524</v>
      </c>
      <c r="E113" s="54" t="s">
        <v>19</v>
      </c>
      <c r="F113" s="162">
        <v>9</v>
      </c>
      <c r="G113" s="203">
        <v>46</v>
      </c>
      <c r="H113" s="204">
        <f t="shared" si="25"/>
        <v>870.64</v>
      </c>
      <c r="I113" s="204">
        <f t="shared" si="34"/>
        <v>888.73</v>
      </c>
      <c r="J113" s="205">
        <f t="shared" si="36"/>
        <v>40881.58</v>
      </c>
      <c r="K113" s="212">
        <f t="shared" si="30"/>
        <v>40049.440000000002</v>
      </c>
      <c r="L113" s="211">
        <f t="shared" si="33"/>
        <v>832.13999999999942</v>
      </c>
      <c r="M113" s="208">
        <f t="shared" si="26"/>
        <v>26.55173114126627</v>
      </c>
      <c r="N113" s="209">
        <f t="shared" si="27"/>
        <v>858.69173114126568</v>
      </c>
      <c r="O113" s="208">
        <v>0</v>
      </c>
      <c r="P113" s="208">
        <v>0</v>
      </c>
      <c r="Q113" s="208">
        <v>0</v>
      </c>
      <c r="R113" s="209">
        <f t="shared" si="28"/>
        <v>858.69173114126568</v>
      </c>
    </row>
    <row r="114" spans="1:18" x14ac:dyDescent="0.2">
      <c r="A114" s="162">
        <v>11</v>
      </c>
      <c r="B114" s="200">
        <f t="shared" si="35"/>
        <v>44501</v>
      </c>
      <c r="C114" s="224">
        <f t="shared" si="32"/>
        <v>44533</v>
      </c>
      <c r="D114" s="224">
        <f t="shared" si="32"/>
        <v>44557</v>
      </c>
      <c r="E114" s="54" t="s">
        <v>19</v>
      </c>
      <c r="F114" s="162">
        <v>9</v>
      </c>
      <c r="G114" s="203">
        <v>48</v>
      </c>
      <c r="H114" s="204">
        <f t="shared" si="25"/>
        <v>870.64</v>
      </c>
      <c r="I114" s="204">
        <f t="shared" si="34"/>
        <v>888.73</v>
      </c>
      <c r="J114" s="205">
        <f t="shared" si="36"/>
        <v>42659.040000000001</v>
      </c>
      <c r="K114" s="212">
        <f t="shared" si="30"/>
        <v>41790.720000000001</v>
      </c>
      <c r="L114" s="211">
        <f t="shared" si="33"/>
        <v>868.31999999999971</v>
      </c>
      <c r="M114" s="208">
        <f t="shared" si="26"/>
        <v>27.706154234364803</v>
      </c>
      <c r="N114" s="209">
        <f t="shared" si="27"/>
        <v>896.02615423436453</v>
      </c>
      <c r="O114" s="208">
        <v>0</v>
      </c>
      <c r="P114" s="208">
        <v>0</v>
      </c>
      <c r="Q114" s="208">
        <v>0</v>
      </c>
      <c r="R114" s="209">
        <f t="shared" si="28"/>
        <v>896.02615423436453</v>
      </c>
    </row>
    <row r="115" spans="1:18" s="228" customFormat="1" x14ac:dyDescent="0.2">
      <c r="A115" s="162">
        <v>12</v>
      </c>
      <c r="B115" s="226">
        <f t="shared" si="35"/>
        <v>44531</v>
      </c>
      <c r="C115" s="229">
        <f t="shared" si="32"/>
        <v>44566</v>
      </c>
      <c r="D115" s="229">
        <f t="shared" si="32"/>
        <v>44585</v>
      </c>
      <c r="E115" s="227" t="s">
        <v>19</v>
      </c>
      <c r="F115" s="173">
        <v>9</v>
      </c>
      <c r="G115" s="215">
        <v>42</v>
      </c>
      <c r="H115" s="216">
        <f t="shared" si="25"/>
        <v>870.64</v>
      </c>
      <c r="I115" s="216">
        <f t="shared" si="34"/>
        <v>888.73</v>
      </c>
      <c r="J115" s="217">
        <f t="shared" si="36"/>
        <v>37326.660000000003</v>
      </c>
      <c r="K115" s="218">
        <f t="shared" si="30"/>
        <v>36566.879999999997</v>
      </c>
      <c r="L115" s="219">
        <f t="shared" si="33"/>
        <v>759.78000000000611</v>
      </c>
      <c r="M115" s="208">
        <f t="shared" si="26"/>
        <v>24.242884955069201</v>
      </c>
      <c r="N115" s="209">
        <f t="shared" si="27"/>
        <v>784.02288495507537</v>
      </c>
      <c r="O115" s="208">
        <v>0</v>
      </c>
      <c r="P115" s="208">
        <v>0</v>
      </c>
      <c r="Q115" s="208">
        <v>0</v>
      </c>
      <c r="R115" s="209">
        <f t="shared" si="28"/>
        <v>784.02288495507537</v>
      </c>
    </row>
    <row r="116" spans="1:18" x14ac:dyDescent="0.2">
      <c r="A116" s="124">
        <v>1</v>
      </c>
      <c r="B116" s="200">
        <f t="shared" si="35"/>
        <v>44197</v>
      </c>
      <c r="C116" s="224">
        <f t="shared" si="32"/>
        <v>44230</v>
      </c>
      <c r="D116" s="224">
        <f t="shared" si="32"/>
        <v>44251</v>
      </c>
      <c r="E116" s="202" t="s">
        <v>13</v>
      </c>
      <c r="F116" s="124">
        <v>9</v>
      </c>
      <c r="G116" s="203">
        <v>973</v>
      </c>
      <c r="H116" s="204">
        <f t="shared" si="25"/>
        <v>870.64</v>
      </c>
      <c r="I116" s="204">
        <f t="shared" si="34"/>
        <v>888.73</v>
      </c>
      <c r="J116" s="205">
        <f t="shared" si="36"/>
        <v>864734.29</v>
      </c>
      <c r="K116" s="206">
        <f t="shared" si="30"/>
        <v>847132.72</v>
      </c>
      <c r="L116" s="207">
        <f>+J116-K116</f>
        <v>17601.570000000065</v>
      </c>
      <c r="M116" s="208">
        <f t="shared" si="26"/>
        <v>561.62683479243651</v>
      </c>
      <c r="N116" s="209">
        <f t="shared" si="27"/>
        <v>18163.196834792503</v>
      </c>
      <c r="O116" s="208">
        <v>0</v>
      </c>
      <c r="P116" s="208">
        <v>0</v>
      </c>
      <c r="Q116" s="208">
        <v>0</v>
      </c>
      <c r="R116" s="209">
        <f t="shared" si="28"/>
        <v>18163.196834792503</v>
      </c>
    </row>
    <row r="117" spans="1:18" x14ac:dyDescent="0.2">
      <c r="A117" s="162">
        <v>2</v>
      </c>
      <c r="B117" s="200">
        <f t="shared" si="35"/>
        <v>44228</v>
      </c>
      <c r="C117" s="224">
        <f t="shared" ref="C117:D139" si="37">+C105</f>
        <v>44258</v>
      </c>
      <c r="D117" s="224">
        <f t="shared" si="37"/>
        <v>44279</v>
      </c>
      <c r="E117" s="210" t="s">
        <v>13</v>
      </c>
      <c r="F117" s="162">
        <v>9</v>
      </c>
      <c r="G117" s="203">
        <v>1338</v>
      </c>
      <c r="H117" s="204">
        <f t="shared" si="25"/>
        <v>870.64</v>
      </c>
      <c r="I117" s="204">
        <f t="shared" si="34"/>
        <v>888.73</v>
      </c>
      <c r="J117" s="205">
        <f t="shared" si="36"/>
        <v>1189120.74</v>
      </c>
      <c r="K117" s="206">
        <f t="shared" si="30"/>
        <v>1164916.32</v>
      </c>
      <c r="L117" s="207">
        <f>+J117-K117</f>
        <v>24204.419999999925</v>
      </c>
      <c r="M117" s="208">
        <f t="shared" si="26"/>
        <v>772.30904928291886</v>
      </c>
      <c r="N117" s="209">
        <f t="shared" si="27"/>
        <v>24976.729049282843</v>
      </c>
      <c r="O117" s="208">
        <v>0</v>
      </c>
      <c r="P117" s="208">
        <v>0</v>
      </c>
      <c r="Q117" s="208">
        <v>0</v>
      </c>
      <c r="R117" s="209">
        <f t="shared" si="28"/>
        <v>24976.729049282843</v>
      </c>
    </row>
    <row r="118" spans="1:18" x14ac:dyDescent="0.2">
      <c r="A118" s="162">
        <v>3</v>
      </c>
      <c r="B118" s="200">
        <f t="shared" si="35"/>
        <v>44256</v>
      </c>
      <c r="C118" s="224">
        <f t="shared" si="37"/>
        <v>44291</v>
      </c>
      <c r="D118" s="224">
        <f t="shared" si="37"/>
        <v>44312</v>
      </c>
      <c r="E118" s="210" t="s">
        <v>13</v>
      </c>
      <c r="F118" s="162">
        <v>9</v>
      </c>
      <c r="G118" s="203">
        <v>790</v>
      </c>
      <c r="H118" s="204">
        <f t="shared" si="25"/>
        <v>870.64</v>
      </c>
      <c r="I118" s="204">
        <f t="shared" si="34"/>
        <v>888.73</v>
      </c>
      <c r="J118" s="205">
        <f t="shared" si="36"/>
        <v>702096.70000000007</v>
      </c>
      <c r="K118" s="206">
        <f t="shared" si="30"/>
        <v>687805.6</v>
      </c>
      <c r="L118" s="207">
        <f>+J118-K118</f>
        <v>14291.100000000093</v>
      </c>
      <c r="M118" s="208">
        <f t="shared" si="26"/>
        <v>455.9971217739207</v>
      </c>
      <c r="N118" s="209">
        <f t="shared" si="27"/>
        <v>14747.097121774013</v>
      </c>
      <c r="O118" s="208">
        <v>0</v>
      </c>
      <c r="P118" s="208">
        <v>0</v>
      </c>
      <c r="Q118" s="208">
        <v>0</v>
      </c>
      <c r="R118" s="209">
        <f t="shared" si="28"/>
        <v>14747.097121774013</v>
      </c>
    </row>
    <row r="119" spans="1:18" x14ac:dyDescent="0.2">
      <c r="A119" s="124">
        <v>4</v>
      </c>
      <c r="B119" s="200">
        <f t="shared" si="35"/>
        <v>44287</v>
      </c>
      <c r="C119" s="224">
        <f t="shared" si="37"/>
        <v>44321</v>
      </c>
      <c r="D119" s="224">
        <f t="shared" si="37"/>
        <v>44340</v>
      </c>
      <c r="E119" s="54" t="s">
        <v>13</v>
      </c>
      <c r="F119" s="162">
        <v>9</v>
      </c>
      <c r="G119" s="203">
        <v>565</v>
      </c>
      <c r="H119" s="204">
        <f t="shared" si="25"/>
        <v>870.64</v>
      </c>
      <c r="I119" s="204">
        <f t="shared" si="34"/>
        <v>888.73</v>
      </c>
      <c r="J119" s="205">
        <f t="shared" si="36"/>
        <v>502132.45</v>
      </c>
      <c r="K119" s="206">
        <f t="shared" si="30"/>
        <v>491911.6</v>
      </c>
      <c r="L119" s="207">
        <f t="shared" ref="L119:L127" si="38">+J119-K119</f>
        <v>10220.850000000035</v>
      </c>
      <c r="M119" s="208">
        <f t="shared" si="26"/>
        <v>326.12452380033568</v>
      </c>
      <c r="N119" s="209">
        <f t="shared" si="27"/>
        <v>10546.974523800371</v>
      </c>
      <c r="O119" s="208">
        <v>0</v>
      </c>
      <c r="P119" s="208">
        <v>0</v>
      </c>
      <c r="Q119" s="208">
        <v>0</v>
      </c>
      <c r="R119" s="209">
        <f t="shared" si="28"/>
        <v>10546.974523800371</v>
      </c>
    </row>
    <row r="120" spans="1:18" x14ac:dyDescent="0.2">
      <c r="A120" s="162">
        <v>5</v>
      </c>
      <c r="B120" s="200">
        <f t="shared" si="35"/>
        <v>44317</v>
      </c>
      <c r="C120" s="224">
        <f t="shared" si="37"/>
        <v>44350</v>
      </c>
      <c r="D120" s="224">
        <f t="shared" si="37"/>
        <v>44371</v>
      </c>
      <c r="E120" s="54" t="s">
        <v>13</v>
      </c>
      <c r="F120" s="162">
        <v>9</v>
      </c>
      <c r="G120" s="203">
        <v>636</v>
      </c>
      <c r="H120" s="204">
        <f t="shared" si="25"/>
        <v>870.64</v>
      </c>
      <c r="I120" s="204">
        <f t="shared" si="34"/>
        <v>888.73</v>
      </c>
      <c r="J120" s="205">
        <f t="shared" si="36"/>
        <v>565232.28</v>
      </c>
      <c r="K120" s="206">
        <f t="shared" si="30"/>
        <v>553727.04</v>
      </c>
      <c r="L120" s="207">
        <f t="shared" si="38"/>
        <v>11505.239999999991</v>
      </c>
      <c r="M120" s="208">
        <f t="shared" si="26"/>
        <v>367.10654360533363</v>
      </c>
      <c r="N120" s="209">
        <f t="shared" si="27"/>
        <v>11872.346543605325</v>
      </c>
      <c r="O120" s="208">
        <v>0</v>
      </c>
      <c r="P120" s="208">
        <v>0</v>
      </c>
      <c r="Q120" s="208">
        <v>0</v>
      </c>
      <c r="R120" s="209">
        <f t="shared" si="28"/>
        <v>11872.346543605325</v>
      </c>
    </row>
    <row r="121" spans="1:18" x14ac:dyDescent="0.2">
      <c r="A121" s="162">
        <v>6</v>
      </c>
      <c r="B121" s="200">
        <f t="shared" si="35"/>
        <v>44348</v>
      </c>
      <c r="C121" s="224">
        <f t="shared" si="37"/>
        <v>44383</v>
      </c>
      <c r="D121" s="224">
        <f t="shared" si="37"/>
        <v>44401</v>
      </c>
      <c r="E121" s="54" t="s">
        <v>13</v>
      </c>
      <c r="F121" s="162">
        <v>9</v>
      </c>
      <c r="G121" s="203">
        <v>845</v>
      </c>
      <c r="H121" s="204">
        <f t="shared" si="25"/>
        <v>870.64</v>
      </c>
      <c r="I121" s="204">
        <f t="shared" si="34"/>
        <v>888.73</v>
      </c>
      <c r="J121" s="205">
        <f t="shared" si="36"/>
        <v>750976.85</v>
      </c>
      <c r="K121" s="206">
        <f t="shared" si="30"/>
        <v>735690.8</v>
      </c>
      <c r="L121" s="211">
        <f t="shared" si="38"/>
        <v>15286.04999999993</v>
      </c>
      <c r="M121" s="208">
        <f t="shared" si="26"/>
        <v>487.74375683413041</v>
      </c>
      <c r="N121" s="209">
        <f t="shared" si="27"/>
        <v>15773.79375683406</v>
      </c>
      <c r="O121" s="208">
        <v>0</v>
      </c>
      <c r="P121" s="208">
        <v>0</v>
      </c>
      <c r="Q121" s="208">
        <v>0</v>
      </c>
      <c r="R121" s="209">
        <f t="shared" si="28"/>
        <v>15773.79375683406</v>
      </c>
    </row>
    <row r="122" spans="1:18" x14ac:dyDescent="0.2">
      <c r="A122" s="124">
        <v>7</v>
      </c>
      <c r="B122" s="200">
        <f t="shared" si="35"/>
        <v>44378</v>
      </c>
      <c r="C122" s="224">
        <f t="shared" si="37"/>
        <v>44412</v>
      </c>
      <c r="D122" s="224">
        <f t="shared" si="37"/>
        <v>44432</v>
      </c>
      <c r="E122" s="54" t="s">
        <v>13</v>
      </c>
      <c r="F122" s="162">
        <v>9</v>
      </c>
      <c r="G122" s="203">
        <v>897</v>
      </c>
      <c r="H122" s="204">
        <f t="shared" si="25"/>
        <v>870.64</v>
      </c>
      <c r="I122" s="204">
        <f t="shared" si="34"/>
        <v>888.73</v>
      </c>
      <c r="J122" s="205">
        <f t="shared" si="36"/>
        <v>797190.81</v>
      </c>
      <c r="K122" s="212">
        <f t="shared" si="30"/>
        <v>780964.08</v>
      </c>
      <c r="L122" s="211">
        <f t="shared" si="38"/>
        <v>16226.730000000098</v>
      </c>
      <c r="M122" s="208">
        <f t="shared" si="26"/>
        <v>517.75875725469223</v>
      </c>
      <c r="N122" s="209">
        <f t="shared" si="27"/>
        <v>16744.488757254789</v>
      </c>
      <c r="O122" s="208">
        <v>0</v>
      </c>
      <c r="P122" s="208">
        <v>0</v>
      </c>
      <c r="Q122" s="208">
        <v>0</v>
      </c>
      <c r="R122" s="209">
        <f t="shared" si="28"/>
        <v>16744.488757254789</v>
      </c>
    </row>
    <row r="123" spans="1:18" x14ac:dyDescent="0.2">
      <c r="A123" s="162">
        <v>8</v>
      </c>
      <c r="B123" s="200">
        <f t="shared" si="35"/>
        <v>44409</v>
      </c>
      <c r="C123" s="224">
        <f t="shared" si="37"/>
        <v>44442</v>
      </c>
      <c r="D123" s="224">
        <f t="shared" si="37"/>
        <v>44463</v>
      </c>
      <c r="E123" s="54" t="s">
        <v>13</v>
      </c>
      <c r="F123" s="162">
        <v>9</v>
      </c>
      <c r="G123" s="203">
        <v>899</v>
      </c>
      <c r="H123" s="204">
        <f t="shared" si="25"/>
        <v>870.64</v>
      </c>
      <c r="I123" s="204">
        <f t="shared" si="34"/>
        <v>888.73</v>
      </c>
      <c r="J123" s="205">
        <f t="shared" si="36"/>
        <v>798968.27</v>
      </c>
      <c r="K123" s="212">
        <f t="shared" si="30"/>
        <v>782705.36</v>
      </c>
      <c r="L123" s="211">
        <f t="shared" si="38"/>
        <v>16262.910000000033</v>
      </c>
      <c r="M123" s="208">
        <f t="shared" si="26"/>
        <v>518.91318034779079</v>
      </c>
      <c r="N123" s="209">
        <f t="shared" si="27"/>
        <v>16781.823180347823</v>
      </c>
      <c r="O123" s="208">
        <v>0</v>
      </c>
      <c r="P123" s="208">
        <v>0</v>
      </c>
      <c r="Q123" s="208">
        <v>0</v>
      </c>
      <c r="R123" s="209">
        <f t="shared" si="28"/>
        <v>16781.823180347823</v>
      </c>
    </row>
    <row r="124" spans="1:18" x14ac:dyDescent="0.2">
      <c r="A124" s="162">
        <v>9</v>
      </c>
      <c r="B124" s="200">
        <f t="shared" si="35"/>
        <v>44440</v>
      </c>
      <c r="C124" s="224">
        <f t="shared" si="37"/>
        <v>44474</v>
      </c>
      <c r="D124" s="224">
        <f t="shared" si="37"/>
        <v>44494</v>
      </c>
      <c r="E124" s="54" t="s">
        <v>13</v>
      </c>
      <c r="F124" s="162">
        <v>9</v>
      </c>
      <c r="G124" s="203">
        <v>904</v>
      </c>
      <c r="H124" s="204">
        <f t="shared" si="25"/>
        <v>870.64</v>
      </c>
      <c r="I124" s="204">
        <f t="shared" si="34"/>
        <v>888.73</v>
      </c>
      <c r="J124" s="205">
        <f t="shared" si="36"/>
        <v>803411.92</v>
      </c>
      <c r="K124" s="212">
        <f t="shared" si="30"/>
        <v>787058.55999999994</v>
      </c>
      <c r="L124" s="211">
        <f t="shared" si="38"/>
        <v>16353.360000000102</v>
      </c>
      <c r="M124" s="208">
        <f t="shared" si="26"/>
        <v>521.79923808053718</v>
      </c>
      <c r="N124" s="209">
        <f t="shared" si="27"/>
        <v>16875.15923808064</v>
      </c>
      <c r="O124" s="208">
        <v>0</v>
      </c>
      <c r="P124" s="208">
        <v>0</v>
      </c>
      <c r="Q124" s="208">
        <v>0</v>
      </c>
      <c r="R124" s="209">
        <f t="shared" si="28"/>
        <v>16875.15923808064</v>
      </c>
    </row>
    <row r="125" spans="1:18" x14ac:dyDescent="0.2">
      <c r="A125" s="124">
        <v>10</v>
      </c>
      <c r="B125" s="200">
        <f t="shared" si="35"/>
        <v>44470</v>
      </c>
      <c r="C125" s="224">
        <f t="shared" si="37"/>
        <v>44503</v>
      </c>
      <c r="D125" s="224">
        <f t="shared" si="37"/>
        <v>44524</v>
      </c>
      <c r="E125" s="54" t="s">
        <v>13</v>
      </c>
      <c r="F125" s="162">
        <v>9</v>
      </c>
      <c r="G125" s="203">
        <v>685</v>
      </c>
      <c r="H125" s="204">
        <f t="shared" si="25"/>
        <v>870.64</v>
      </c>
      <c r="I125" s="204">
        <f t="shared" si="34"/>
        <v>888.73</v>
      </c>
      <c r="J125" s="205">
        <f t="shared" si="36"/>
        <v>608780.05000000005</v>
      </c>
      <c r="K125" s="212">
        <f t="shared" si="30"/>
        <v>596388.4</v>
      </c>
      <c r="L125" s="211">
        <f t="shared" si="38"/>
        <v>12391.650000000023</v>
      </c>
      <c r="M125" s="208">
        <f t="shared" si="26"/>
        <v>395.38990938624772</v>
      </c>
      <c r="N125" s="209">
        <f t="shared" si="27"/>
        <v>12787.039909386271</v>
      </c>
      <c r="O125" s="208">
        <v>0</v>
      </c>
      <c r="P125" s="208">
        <v>0</v>
      </c>
      <c r="Q125" s="208">
        <v>0</v>
      </c>
      <c r="R125" s="209">
        <f t="shared" si="28"/>
        <v>12787.039909386271</v>
      </c>
    </row>
    <row r="126" spans="1:18" x14ac:dyDescent="0.2">
      <c r="A126" s="162">
        <v>11</v>
      </c>
      <c r="B126" s="200">
        <f t="shared" si="35"/>
        <v>44501</v>
      </c>
      <c r="C126" s="224">
        <f t="shared" si="37"/>
        <v>44533</v>
      </c>
      <c r="D126" s="224">
        <f t="shared" si="37"/>
        <v>44557</v>
      </c>
      <c r="E126" s="54" t="s">
        <v>13</v>
      </c>
      <c r="F126" s="162">
        <v>9</v>
      </c>
      <c r="G126" s="203">
        <v>718</v>
      </c>
      <c r="H126" s="204">
        <f t="shared" si="25"/>
        <v>870.64</v>
      </c>
      <c r="I126" s="204">
        <f t="shared" si="34"/>
        <v>888.73</v>
      </c>
      <c r="J126" s="205">
        <f t="shared" si="36"/>
        <v>638108.14</v>
      </c>
      <c r="K126" s="212">
        <f t="shared" si="30"/>
        <v>625119.52</v>
      </c>
      <c r="L126" s="211">
        <f t="shared" si="38"/>
        <v>12988.619999999995</v>
      </c>
      <c r="M126" s="208">
        <f t="shared" si="26"/>
        <v>414.43789042237353</v>
      </c>
      <c r="N126" s="209">
        <f t="shared" si="27"/>
        <v>13403.057890422369</v>
      </c>
      <c r="O126" s="208">
        <v>0</v>
      </c>
      <c r="P126" s="208">
        <v>0</v>
      </c>
      <c r="Q126" s="208">
        <v>0</v>
      </c>
      <c r="R126" s="209">
        <f t="shared" si="28"/>
        <v>13403.057890422369</v>
      </c>
    </row>
    <row r="127" spans="1:18" s="228" customFormat="1" x14ac:dyDescent="0.2">
      <c r="A127" s="162">
        <v>12</v>
      </c>
      <c r="B127" s="226">
        <f t="shared" si="35"/>
        <v>44531</v>
      </c>
      <c r="C127" s="229">
        <f t="shared" si="37"/>
        <v>44566</v>
      </c>
      <c r="D127" s="229">
        <f t="shared" si="37"/>
        <v>44585</v>
      </c>
      <c r="E127" s="227" t="s">
        <v>13</v>
      </c>
      <c r="F127" s="173">
        <v>9</v>
      </c>
      <c r="G127" s="215">
        <v>770</v>
      </c>
      <c r="H127" s="216">
        <f t="shared" si="25"/>
        <v>870.64</v>
      </c>
      <c r="I127" s="216">
        <f t="shared" si="34"/>
        <v>888.73</v>
      </c>
      <c r="J127" s="217">
        <f t="shared" si="36"/>
        <v>684322.1</v>
      </c>
      <c r="K127" s="218">
        <f t="shared" si="30"/>
        <v>670392.80000000005</v>
      </c>
      <c r="L127" s="219">
        <f t="shared" si="38"/>
        <v>13929.29999999993</v>
      </c>
      <c r="M127" s="208">
        <f t="shared" si="26"/>
        <v>444.4528908429354</v>
      </c>
      <c r="N127" s="209">
        <f t="shared" si="27"/>
        <v>14373.752890842865</v>
      </c>
      <c r="O127" s="208">
        <v>0</v>
      </c>
      <c r="P127" s="208">
        <v>0</v>
      </c>
      <c r="Q127" s="208">
        <v>0</v>
      </c>
      <c r="R127" s="209">
        <f t="shared" si="28"/>
        <v>14373.752890842865</v>
      </c>
    </row>
    <row r="128" spans="1:18" x14ac:dyDescent="0.2">
      <c r="A128" s="124">
        <v>1</v>
      </c>
      <c r="B128" s="200">
        <f t="shared" si="35"/>
        <v>44197</v>
      </c>
      <c r="C128" s="224">
        <f t="shared" si="37"/>
        <v>44230</v>
      </c>
      <c r="D128" s="224">
        <f t="shared" si="37"/>
        <v>44251</v>
      </c>
      <c r="E128" s="202" t="s">
        <v>15</v>
      </c>
      <c r="F128" s="124">
        <v>9</v>
      </c>
      <c r="G128" s="203">
        <v>7</v>
      </c>
      <c r="H128" s="204">
        <f t="shared" si="25"/>
        <v>870.64</v>
      </c>
      <c r="I128" s="204">
        <f t="shared" ref="I128:I147" si="39">$J$3</f>
        <v>888.73</v>
      </c>
      <c r="J128" s="205">
        <f t="shared" si="36"/>
        <v>6221.1100000000006</v>
      </c>
      <c r="K128" s="206">
        <f t="shared" si="30"/>
        <v>6094.48</v>
      </c>
      <c r="L128" s="207">
        <f>+J128-K128</f>
        <v>126.63000000000102</v>
      </c>
      <c r="M128" s="208">
        <f t="shared" si="26"/>
        <v>4.0404808258448677</v>
      </c>
      <c r="N128" s="209">
        <f t="shared" si="27"/>
        <v>130.67048082584589</v>
      </c>
      <c r="O128" s="208">
        <v>0</v>
      </c>
      <c r="P128" s="208">
        <v>0</v>
      </c>
      <c r="Q128" s="208">
        <v>0</v>
      </c>
      <c r="R128" s="209">
        <f t="shared" si="28"/>
        <v>130.67048082584589</v>
      </c>
    </row>
    <row r="129" spans="1:18" x14ac:dyDescent="0.2">
      <c r="A129" s="162">
        <v>2</v>
      </c>
      <c r="B129" s="200">
        <f t="shared" si="35"/>
        <v>44228</v>
      </c>
      <c r="C129" s="224">
        <f t="shared" si="37"/>
        <v>44258</v>
      </c>
      <c r="D129" s="224">
        <f t="shared" si="37"/>
        <v>44279</v>
      </c>
      <c r="E129" s="210" t="s">
        <v>15</v>
      </c>
      <c r="F129" s="162">
        <v>9</v>
      </c>
      <c r="G129" s="203">
        <v>8</v>
      </c>
      <c r="H129" s="204">
        <f t="shared" si="25"/>
        <v>870.64</v>
      </c>
      <c r="I129" s="204">
        <f t="shared" si="39"/>
        <v>888.73</v>
      </c>
      <c r="J129" s="205">
        <f t="shared" si="36"/>
        <v>7109.84</v>
      </c>
      <c r="K129" s="206">
        <f t="shared" si="30"/>
        <v>6965.12</v>
      </c>
      <c r="L129" s="207">
        <f>+J129-K129</f>
        <v>144.72000000000025</v>
      </c>
      <c r="M129" s="208">
        <f t="shared" si="26"/>
        <v>4.6176923723941341</v>
      </c>
      <c r="N129" s="209">
        <f t="shared" si="27"/>
        <v>149.3376923723944</v>
      </c>
      <c r="O129" s="208">
        <v>0</v>
      </c>
      <c r="P129" s="208">
        <v>0</v>
      </c>
      <c r="Q129" s="208">
        <v>0</v>
      </c>
      <c r="R129" s="209">
        <f t="shared" si="28"/>
        <v>149.3376923723944</v>
      </c>
    </row>
    <row r="130" spans="1:18" x14ac:dyDescent="0.2">
      <c r="A130" s="162">
        <v>3</v>
      </c>
      <c r="B130" s="200">
        <f t="shared" si="35"/>
        <v>44256</v>
      </c>
      <c r="C130" s="224">
        <f t="shared" si="37"/>
        <v>44291</v>
      </c>
      <c r="D130" s="224">
        <f t="shared" si="37"/>
        <v>44312</v>
      </c>
      <c r="E130" s="210" t="s">
        <v>15</v>
      </c>
      <c r="F130" s="162">
        <v>9</v>
      </c>
      <c r="G130" s="203">
        <v>5</v>
      </c>
      <c r="H130" s="204">
        <f t="shared" si="25"/>
        <v>870.64</v>
      </c>
      <c r="I130" s="204">
        <f t="shared" si="39"/>
        <v>888.73</v>
      </c>
      <c r="J130" s="205">
        <f t="shared" si="36"/>
        <v>4443.6499999999996</v>
      </c>
      <c r="K130" s="206">
        <f t="shared" si="30"/>
        <v>4353.2</v>
      </c>
      <c r="L130" s="207">
        <f>+J130-K130</f>
        <v>90.449999999999818</v>
      </c>
      <c r="M130" s="208">
        <f t="shared" si="26"/>
        <v>2.8860577327463335</v>
      </c>
      <c r="N130" s="209">
        <f t="shared" si="27"/>
        <v>93.336057732746156</v>
      </c>
      <c r="O130" s="208">
        <v>0</v>
      </c>
      <c r="P130" s="208">
        <v>0</v>
      </c>
      <c r="Q130" s="208">
        <v>0</v>
      </c>
      <c r="R130" s="209">
        <f t="shared" si="28"/>
        <v>93.336057732746156</v>
      </c>
    </row>
    <row r="131" spans="1:18" x14ac:dyDescent="0.2">
      <c r="A131" s="124">
        <v>4</v>
      </c>
      <c r="B131" s="200">
        <f t="shared" si="35"/>
        <v>44287</v>
      </c>
      <c r="C131" s="224">
        <f t="shared" si="37"/>
        <v>44321</v>
      </c>
      <c r="D131" s="224">
        <f t="shared" si="37"/>
        <v>44340</v>
      </c>
      <c r="E131" s="210" t="s">
        <v>15</v>
      </c>
      <c r="F131" s="162">
        <v>9</v>
      </c>
      <c r="G131" s="203">
        <v>6</v>
      </c>
      <c r="H131" s="204">
        <f t="shared" si="25"/>
        <v>870.64</v>
      </c>
      <c r="I131" s="204">
        <f t="shared" si="39"/>
        <v>888.73</v>
      </c>
      <c r="J131" s="205">
        <f t="shared" si="36"/>
        <v>5332.38</v>
      </c>
      <c r="K131" s="206">
        <f t="shared" si="30"/>
        <v>5223.84</v>
      </c>
      <c r="L131" s="207">
        <f t="shared" ref="L131:L141" si="40">+J131-K131</f>
        <v>108.53999999999996</v>
      </c>
      <c r="M131" s="208">
        <f t="shared" si="26"/>
        <v>3.4632692792956004</v>
      </c>
      <c r="N131" s="209">
        <f t="shared" si="27"/>
        <v>112.00326927929557</v>
      </c>
      <c r="O131" s="208">
        <v>0</v>
      </c>
      <c r="P131" s="208">
        <v>0</v>
      </c>
      <c r="Q131" s="208">
        <v>0</v>
      </c>
      <c r="R131" s="209">
        <f t="shared" si="28"/>
        <v>112.00326927929557</v>
      </c>
    </row>
    <row r="132" spans="1:18" x14ac:dyDescent="0.2">
      <c r="A132" s="162">
        <v>5</v>
      </c>
      <c r="B132" s="200">
        <f t="shared" si="35"/>
        <v>44317</v>
      </c>
      <c r="C132" s="224">
        <f t="shared" si="37"/>
        <v>44350</v>
      </c>
      <c r="D132" s="224">
        <f t="shared" si="37"/>
        <v>44371</v>
      </c>
      <c r="E132" s="54" t="s">
        <v>15</v>
      </c>
      <c r="F132" s="162">
        <v>9</v>
      </c>
      <c r="G132" s="203">
        <v>4</v>
      </c>
      <c r="H132" s="204">
        <f t="shared" si="25"/>
        <v>870.64</v>
      </c>
      <c r="I132" s="204">
        <f t="shared" si="39"/>
        <v>888.73</v>
      </c>
      <c r="J132" s="205">
        <f t="shared" si="36"/>
        <v>3554.92</v>
      </c>
      <c r="K132" s="206">
        <f t="shared" si="30"/>
        <v>3482.56</v>
      </c>
      <c r="L132" s="207">
        <f t="shared" si="40"/>
        <v>72.360000000000127</v>
      </c>
      <c r="M132" s="208">
        <f t="shared" si="26"/>
        <v>2.3088461861970671</v>
      </c>
      <c r="N132" s="209">
        <f t="shared" si="27"/>
        <v>74.6688461861972</v>
      </c>
      <c r="O132" s="208">
        <v>0</v>
      </c>
      <c r="P132" s="208">
        <v>0</v>
      </c>
      <c r="Q132" s="208">
        <v>0</v>
      </c>
      <c r="R132" s="209">
        <f t="shared" si="28"/>
        <v>74.6688461861972</v>
      </c>
    </row>
    <row r="133" spans="1:18" x14ac:dyDescent="0.2">
      <c r="A133" s="162">
        <v>6</v>
      </c>
      <c r="B133" s="200">
        <f t="shared" si="35"/>
        <v>44348</v>
      </c>
      <c r="C133" s="224">
        <f t="shared" si="37"/>
        <v>44383</v>
      </c>
      <c r="D133" s="224">
        <f t="shared" si="37"/>
        <v>44401</v>
      </c>
      <c r="E133" s="54" t="s">
        <v>15</v>
      </c>
      <c r="F133" s="162">
        <v>9</v>
      </c>
      <c r="G133" s="203">
        <v>13</v>
      </c>
      <c r="H133" s="204">
        <f t="shared" si="25"/>
        <v>870.64</v>
      </c>
      <c r="I133" s="204">
        <f t="shared" si="39"/>
        <v>888.73</v>
      </c>
      <c r="J133" s="205">
        <f t="shared" si="36"/>
        <v>11553.49</v>
      </c>
      <c r="K133" s="206">
        <f t="shared" si="30"/>
        <v>11318.32</v>
      </c>
      <c r="L133" s="211">
        <f t="shared" si="40"/>
        <v>235.17000000000007</v>
      </c>
      <c r="M133" s="208">
        <f t="shared" si="26"/>
        <v>7.503750105140468</v>
      </c>
      <c r="N133" s="209">
        <f t="shared" si="27"/>
        <v>242.67375010514053</v>
      </c>
      <c r="O133" s="208">
        <v>0</v>
      </c>
      <c r="P133" s="208">
        <v>0</v>
      </c>
      <c r="Q133" s="208">
        <v>0</v>
      </c>
      <c r="R133" s="209">
        <f t="shared" si="28"/>
        <v>242.67375010514053</v>
      </c>
    </row>
    <row r="134" spans="1:18" x14ac:dyDescent="0.2">
      <c r="A134" s="124">
        <v>7</v>
      </c>
      <c r="B134" s="200">
        <f t="shared" si="35"/>
        <v>44378</v>
      </c>
      <c r="C134" s="224">
        <f t="shared" si="37"/>
        <v>44412</v>
      </c>
      <c r="D134" s="224">
        <f t="shared" si="37"/>
        <v>44432</v>
      </c>
      <c r="E134" s="54" t="s">
        <v>15</v>
      </c>
      <c r="F134" s="162">
        <v>9</v>
      </c>
      <c r="G134" s="203">
        <v>17</v>
      </c>
      <c r="H134" s="204">
        <f t="shared" si="25"/>
        <v>870.64</v>
      </c>
      <c r="I134" s="204">
        <f t="shared" si="39"/>
        <v>888.73</v>
      </c>
      <c r="J134" s="205">
        <f t="shared" si="36"/>
        <v>15108.41</v>
      </c>
      <c r="K134" s="212">
        <f t="shared" ref="K134:K197" si="41">+$G134*H134</f>
        <v>14800.88</v>
      </c>
      <c r="L134" s="211">
        <f t="shared" si="40"/>
        <v>307.53000000000065</v>
      </c>
      <c r="M134" s="208">
        <f t="shared" si="26"/>
        <v>9.8125962913375346</v>
      </c>
      <c r="N134" s="209">
        <f t="shared" si="27"/>
        <v>317.34259629133817</v>
      </c>
      <c r="O134" s="208">
        <v>0</v>
      </c>
      <c r="P134" s="208">
        <v>0</v>
      </c>
      <c r="Q134" s="208">
        <v>0</v>
      </c>
      <c r="R134" s="209">
        <f t="shared" si="28"/>
        <v>317.34259629133817</v>
      </c>
    </row>
    <row r="135" spans="1:18" x14ac:dyDescent="0.2">
      <c r="A135" s="162">
        <v>8</v>
      </c>
      <c r="B135" s="200">
        <f t="shared" si="35"/>
        <v>44409</v>
      </c>
      <c r="C135" s="224">
        <f t="shared" si="37"/>
        <v>44442</v>
      </c>
      <c r="D135" s="224">
        <f t="shared" si="37"/>
        <v>44463</v>
      </c>
      <c r="E135" s="54" t="s">
        <v>15</v>
      </c>
      <c r="F135" s="162">
        <v>9</v>
      </c>
      <c r="G135" s="203">
        <v>17</v>
      </c>
      <c r="H135" s="204">
        <f t="shared" si="25"/>
        <v>870.64</v>
      </c>
      <c r="I135" s="204">
        <f t="shared" si="39"/>
        <v>888.73</v>
      </c>
      <c r="J135" s="205">
        <f t="shared" si="36"/>
        <v>15108.41</v>
      </c>
      <c r="K135" s="212">
        <f t="shared" si="41"/>
        <v>14800.88</v>
      </c>
      <c r="L135" s="211">
        <f t="shared" si="40"/>
        <v>307.53000000000065</v>
      </c>
      <c r="M135" s="208">
        <f t="shared" si="26"/>
        <v>9.8125962913375346</v>
      </c>
      <c r="N135" s="209">
        <f t="shared" si="27"/>
        <v>317.34259629133817</v>
      </c>
      <c r="O135" s="208">
        <v>0</v>
      </c>
      <c r="P135" s="208">
        <v>0</v>
      </c>
      <c r="Q135" s="208">
        <v>0</v>
      </c>
      <c r="R135" s="209">
        <f t="shared" si="28"/>
        <v>317.34259629133817</v>
      </c>
    </row>
    <row r="136" spans="1:18" x14ac:dyDescent="0.2">
      <c r="A136" s="162">
        <v>9</v>
      </c>
      <c r="B136" s="200">
        <f t="shared" si="35"/>
        <v>44440</v>
      </c>
      <c r="C136" s="224">
        <f t="shared" si="37"/>
        <v>44474</v>
      </c>
      <c r="D136" s="224">
        <f t="shared" si="37"/>
        <v>44494</v>
      </c>
      <c r="E136" s="54" t="s">
        <v>15</v>
      </c>
      <c r="F136" s="162">
        <v>9</v>
      </c>
      <c r="G136" s="203">
        <v>16</v>
      </c>
      <c r="H136" s="204">
        <f t="shared" si="25"/>
        <v>870.64</v>
      </c>
      <c r="I136" s="204">
        <f t="shared" si="39"/>
        <v>888.73</v>
      </c>
      <c r="J136" s="205">
        <f t="shared" si="36"/>
        <v>14219.68</v>
      </c>
      <c r="K136" s="212">
        <f t="shared" si="41"/>
        <v>13930.24</v>
      </c>
      <c r="L136" s="211">
        <f t="shared" si="40"/>
        <v>289.44000000000051</v>
      </c>
      <c r="M136" s="208">
        <f t="shared" si="26"/>
        <v>9.2353847447882682</v>
      </c>
      <c r="N136" s="209">
        <f t="shared" si="27"/>
        <v>298.6753847447888</v>
      </c>
      <c r="O136" s="208">
        <v>0</v>
      </c>
      <c r="P136" s="208">
        <v>0</v>
      </c>
      <c r="Q136" s="208">
        <v>0</v>
      </c>
      <c r="R136" s="209">
        <f t="shared" si="28"/>
        <v>298.6753847447888</v>
      </c>
    </row>
    <row r="137" spans="1:18" x14ac:dyDescent="0.2">
      <c r="A137" s="124">
        <v>10</v>
      </c>
      <c r="B137" s="200">
        <f t="shared" si="35"/>
        <v>44470</v>
      </c>
      <c r="C137" s="224">
        <f t="shared" si="37"/>
        <v>44503</v>
      </c>
      <c r="D137" s="224">
        <f t="shared" si="37"/>
        <v>44524</v>
      </c>
      <c r="E137" s="54" t="s">
        <v>15</v>
      </c>
      <c r="F137" s="162">
        <v>9</v>
      </c>
      <c r="G137" s="203">
        <v>5</v>
      </c>
      <c r="H137" s="204">
        <f t="shared" si="25"/>
        <v>870.64</v>
      </c>
      <c r="I137" s="204">
        <f t="shared" si="39"/>
        <v>888.73</v>
      </c>
      <c r="J137" s="205">
        <f t="shared" si="36"/>
        <v>4443.6499999999996</v>
      </c>
      <c r="K137" s="212">
        <f t="shared" si="41"/>
        <v>4353.2</v>
      </c>
      <c r="L137" s="211">
        <f t="shared" si="40"/>
        <v>90.449999999999818</v>
      </c>
      <c r="M137" s="208">
        <f t="shared" si="26"/>
        <v>2.8860577327463335</v>
      </c>
      <c r="N137" s="209">
        <f t="shared" si="27"/>
        <v>93.336057732746156</v>
      </c>
      <c r="O137" s="208">
        <v>0</v>
      </c>
      <c r="P137" s="208">
        <v>0</v>
      </c>
      <c r="Q137" s="208">
        <v>0</v>
      </c>
      <c r="R137" s="209">
        <f t="shared" si="28"/>
        <v>93.336057732746156</v>
      </c>
    </row>
    <row r="138" spans="1:18" x14ac:dyDescent="0.2">
      <c r="A138" s="162">
        <v>11</v>
      </c>
      <c r="B138" s="200">
        <f t="shared" si="35"/>
        <v>44501</v>
      </c>
      <c r="C138" s="224">
        <f t="shared" si="37"/>
        <v>44533</v>
      </c>
      <c r="D138" s="224">
        <f t="shared" si="37"/>
        <v>44557</v>
      </c>
      <c r="E138" s="54" t="s">
        <v>15</v>
      </c>
      <c r="F138" s="162">
        <v>9</v>
      </c>
      <c r="G138" s="203">
        <v>5</v>
      </c>
      <c r="H138" s="204">
        <f t="shared" si="25"/>
        <v>870.64</v>
      </c>
      <c r="I138" s="204">
        <f t="shared" si="39"/>
        <v>888.73</v>
      </c>
      <c r="J138" s="205">
        <f t="shared" si="36"/>
        <v>4443.6499999999996</v>
      </c>
      <c r="K138" s="212">
        <f t="shared" si="41"/>
        <v>4353.2</v>
      </c>
      <c r="L138" s="211">
        <f t="shared" si="40"/>
        <v>90.449999999999818</v>
      </c>
      <c r="M138" s="208">
        <f t="shared" si="26"/>
        <v>2.8860577327463335</v>
      </c>
      <c r="N138" s="209">
        <f t="shared" si="27"/>
        <v>93.336057732746156</v>
      </c>
      <c r="O138" s="208">
        <v>0</v>
      </c>
      <c r="P138" s="208">
        <v>0</v>
      </c>
      <c r="Q138" s="208">
        <v>0</v>
      </c>
      <c r="R138" s="209">
        <f t="shared" si="28"/>
        <v>93.336057732746156</v>
      </c>
    </row>
    <row r="139" spans="1:18" s="228" customFormat="1" x14ac:dyDescent="0.2">
      <c r="A139" s="162">
        <v>12</v>
      </c>
      <c r="B139" s="226">
        <f t="shared" si="35"/>
        <v>44531</v>
      </c>
      <c r="C139" s="224">
        <f t="shared" si="37"/>
        <v>44566</v>
      </c>
      <c r="D139" s="224">
        <f t="shared" si="37"/>
        <v>44585</v>
      </c>
      <c r="E139" s="227" t="s">
        <v>15</v>
      </c>
      <c r="F139" s="173">
        <v>9</v>
      </c>
      <c r="G139" s="215">
        <v>6</v>
      </c>
      <c r="H139" s="216">
        <f t="shared" si="25"/>
        <v>870.64</v>
      </c>
      <c r="I139" s="216">
        <f t="shared" si="39"/>
        <v>888.73</v>
      </c>
      <c r="J139" s="217">
        <f t="shared" si="36"/>
        <v>5332.38</v>
      </c>
      <c r="K139" s="218">
        <f t="shared" si="41"/>
        <v>5223.84</v>
      </c>
      <c r="L139" s="219">
        <f t="shared" si="40"/>
        <v>108.53999999999996</v>
      </c>
      <c r="M139" s="208">
        <f t="shared" si="26"/>
        <v>3.4632692792956004</v>
      </c>
      <c r="N139" s="209">
        <f t="shared" si="27"/>
        <v>112.00326927929557</v>
      </c>
      <c r="O139" s="208">
        <v>0</v>
      </c>
      <c r="P139" s="208">
        <v>0</v>
      </c>
      <c r="Q139" s="208">
        <v>0</v>
      </c>
      <c r="R139" s="209">
        <f t="shared" si="28"/>
        <v>112.00326927929557</v>
      </c>
    </row>
    <row r="140" spans="1:18" x14ac:dyDescent="0.2">
      <c r="A140" s="124">
        <v>1</v>
      </c>
      <c r="B140" s="200">
        <f t="shared" si="35"/>
        <v>44197</v>
      </c>
      <c r="C140" s="221">
        <f t="shared" ref="C140:D151" si="42">+C128</f>
        <v>44230</v>
      </c>
      <c r="D140" s="221">
        <f t="shared" si="42"/>
        <v>44251</v>
      </c>
      <c r="E140" s="231" t="s">
        <v>16</v>
      </c>
      <c r="F140" s="162">
        <v>9</v>
      </c>
      <c r="G140" s="203">
        <v>3</v>
      </c>
      <c r="H140" s="204">
        <f t="shared" si="25"/>
        <v>870.64</v>
      </c>
      <c r="I140" s="204">
        <f t="shared" si="39"/>
        <v>888.73</v>
      </c>
      <c r="J140" s="205">
        <f t="shared" si="36"/>
        <v>2666.19</v>
      </c>
      <c r="K140" s="206">
        <f t="shared" si="41"/>
        <v>2611.92</v>
      </c>
      <c r="L140" s="207">
        <f t="shared" si="40"/>
        <v>54.269999999999982</v>
      </c>
      <c r="M140" s="208">
        <f t="shared" si="26"/>
        <v>1.7316346396478002</v>
      </c>
      <c r="N140" s="209">
        <f t="shared" si="27"/>
        <v>56.001634639647783</v>
      </c>
      <c r="O140" s="208">
        <v>0</v>
      </c>
      <c r="P140" s="208">
        <v>0</v>
      </c>
      <c r="Q140" s="208">
        <v>0</v>
      </c>
      <c r="R140" s="209">
        <f t="shared" si="28"/>
        <v>56.001634639647783</v>
      </c>
    </row>
    <row r="141" spans="1:18" x14ac:dyDescent="0.2">
      <c r="A141" s="162">
        <v>2</v>
      </c>
      <c r="B141" s="200">
        <f t="shared" si="35"/>
        <v>44228</v>
      </c>
      <c r="C141" s="224">
        <f t="shared" si="42"/>
        <v>44258</v>
      </c>
      <c r="D141" s="224">
        <f t="shared" si="42"/>
        <v>44279</v>
      </c>
      <c r="E141" s="54" t="s">
        <v>16</v>
      </c>
      <c r="F141" s="162">
        <v>9</v>
      </c>
      <c r="G141" s="203">
        <v>5</v>
      </c>
      <c r="H141" s="204">
        <f t="shared" si="25"/>
        <v>870.64</v>
      </c>
      <c r="I141" s="204">
        <f t="shared" si="39"/>
        <v>888.73</v>
      </c>
      <c r="J141" s="205">
        <f t="shared" si="36"/>
        <v>4443.6499999999996</v>
      </c>
      <c r="K141" s="206">
        <f t="shared" si="41"/>
        <v>4353.2</v>
      </c>
      <c r="L141" s="207">
        <f t="shared" si="40"/>
        <v>90.449999999999818</v>
      </c>
      <c r="M141" s="208">
        <f t="shared" si="26"/>
        <v>2.8860577327463335</v>
      </c>
      <c r="N141" s="209">
        <f t="shared" si="27"/>
        <v>93.336057732746156</v>
      </c>
      <c r="O141" s="208">
        <v>0</v>
      </c>
      <c r="P141" s="208">
        <v>0</v>
      </c>
      <c r="Q141" s="208">
        <v>0</v>
      </c>
      <c r="R141" s="209">
        <f t="shared" si="28"/>
        <v>93.336057732746156</v>
      </c>
    </row>
    <row r="142" spans="1:18" x14ac:dyDescent="0.2">
      <c r="A142" s="162">
        <v>3</v>
      </c>
      <c r="B142" s="200">
        <f t="shared" si="35"/>
        <v>44256</v>
      </c>
      <c r="C142" s="224">
        <f t="shared" si="42"/>
        <v>44291</v>
      </c>
      <c r="D142" s="224">
        <f t="shared" si="42"/>
        <v>44312</v>
      </c>
      <c r="E142" s="54" t="s">
        <v>16</v>
      </c>
      <c r="F142" s="162">
        <v>9</v>
      </c>
      <c r="G142" s="203">
        <v>4</v>
      </c>
      <c r="H142" s="204">
        <f t="shared" si="25"/>
        <v>870.64</v>
      </c>
      <c r="I142" s="204">
        <f t="shared" si="39"/>
        <v>888.73</v>
      </c>
      <c r="J142" s="205">
        <f t="shared" si="36"/>
        <v>3554.92</v>
      </c>
      <c r="K142" s="206">
        <f t="shared" si="41"/>
        <v>3482.56</v>
      </c>
      <c r="L142" s="207">
        <f>+J142-K142</f>
        <v>72.360000000000127</v>
      </c>
      <c r="M142" s="208">
        <f t="shared" si="26"/>
        <v>2.3088461861970671</v>
      </c>
      <c r="N142" s="209">
        <f t="shared" si="27"/>
        <v>74.6688461861972</v>
      </c>
      <c r="O142" s="208">
        <v>0</v>
      </c>
      <c r="P142" s="208">
        <v>0</v>
      </c>
      <c r="Q142" s="208">
        <v>0</v>
      </c>
      <c r="R142" s="209">
        <f t="shared" si="28"/>
        <v>74.6688461861972</v>
      </c>
    </row>
    <row r="143" spans="1:18" x14ac:dyDescent="0.2">
      <c r="A143" s="124">
        <v>4</v>
      </c>
      <c r="B143" s="200">
        <f t="shared" si="35"/>
        <v>44287</v>
      </c>
      <c r="C143" s="224">
        <f t="shared" si="42"/>
        <v>44321</v>
      </c>
      <c r="D143" s="224">
        <f t="shared" si="42"/>
        <v>44340</v>
      </c>
      <c r="E143" s="54" t="s">
        <v>16</v>
      </c>
      <c r="F143" s="162">
        <v>9</v>
      </c>
      <c r="G143" s="203">
        <v>4</v>
      </c>
      <c r="H143" s="204">
        <f t="shared" si="25"/>
        <v>870.64</v>
      </c>
      <c r="I143" s="204">
        <f t="shared" si="39"/>
        <v>888.73</v>
      </c>
      <c r="J143" s="205">
        <f t="shared" si="36"/>
        <v>3554.92</v>
      </c>
      <c r="K143" s="206">
        <f t="shared" si="41"/>
        <v>3482.56</v>
      </c>
      <c r="L143" s="207">
        <f t="shared" ref="L143:L153" si="43">+J143-K143</f>
        <v>72.360000000000127</v>
      </c>
      <c r="M143" s="208">
        <f t="shared" si="26"/>
        <v>2.3088461861970671</v>
      </c>
      <c r="N143" s="209">
        <f t="shared" si="27"/>
        <v>74.6688461861972</v>
      </c>
      <c r="O143" s="208">
        <v>0</v>
      </c>
      <c r="P143" s="208">
        <v>0</v>
      </c>
      <c r="Q143" s="208">
        <v>0</v>
      </c>
      <c r="R143" s="209">
        <f t="shared" si="28"/>
        <v>74.6688461861972</v>
      </c>
    </row>
    <row r="144" spans="1:18" x14ac:dyDescent="0.2">
      <c r="A144" s="162">
        <v>5</v>
      </c>
      <c r="B144" s="200">
        <f t="shared" si="35"/>
        <v>44317</v>
      </c>
      <c r="C144" s="224">
        <f t="shared" si="42"/>
        <v>44350</v>
      </c>
      <c r="D144" s="224">
        <f t="shared" si="42"/>
        <v>44371</v>
      </c>
      <c r="E144" s="54" t="s">
        <v>16</v>
      </c>
      <c r="F144" s="162">
        <v>9</v>
      </c>
      <c r="G144" s="203">
        <v>3</v>
      </c>
      <c r="H144" s="204">
        <f t="shared" si="25"/>
        <v>870.64</v>
      </c>
      <c r="I144" s="204">
        <f t="shared" si="39"/>
        <v>888.73</v>
      </c>
      <c r="J144" s="205">
        <f t="shared" si="36"/>
        <v>2666.19</v>
      </c>
      <c r="K144" s="206">
        <f t="shared" si="41"/>
        <v>2611.92</v>
      </c>
      <c r="L144" s="207">
        <f t="shared" si="43"/>
        <v>54.269999999999982</v>
      </c>
      <c r="M144" s="208">
        <f t="shared" si="26"/>
        <v>1.7316346396478002</v>
      </c>
      <c r="N144" s="209">
        <f t="shared" si="27"/>
        <v>56.001634639647783</v>
      </c>
      <c r="O144" s="208">
        <v>0</v>
      </c>
      <c r="P144" s="208">
        <v>0</v>
      </c>
      <c r="Q144" s="208">
        <v>0</v>
      </c>
      <c r="R144" s="209">
        <f t="shared" si="28"/>
        <v>56.001634639647783</v>
      </c>
    </row>
    <row r="145" spans="1:19" x14ac:dyDescent="0.2">
      <c r="A145" s="162">
        <v>6</v>
      </c>
      <c r="B145" s="200">
        <f t="shared" si="35"/>
        <v>44348</v>
      </c>
      <c r="C145" s="224">
        <f t="shared" si="42"/>
        <v>44383</v>
      </c>
      <c r="D145" s="224">
        <f t="shared" si="42"/>
        <v>44401</v>
      </c>
      <c r="E145" s="54" t="s">
        <v>16</v>
      </c>
      <c r="F145" s="162">
        <v>9</v>
      </c>
      <c r="G145" s="203">
        <v>5</v>
      </c>
      <c r="H145" s="204">
        <f t="shared" si="25"/>
        <v>870.64</v>
      </c>
      <c r="I145" s="204">
        <f t="shared" si="39"/>
        <v>888.73</v>
      </c>
      <c r="J145" s="205">
        <f t="shared" si="36"/>
        <v>4443.6499999999996</v>
      </c>
      <c r="K145" s="206">
        <f t="shared" si="41"/>
        <v>4353.2</v>
      </c>
      <c r="L145" s="211">
        <f t="shared" si="43"/>
        <v>90.449999999999818</v>
      </c>
      <c r="M145" s="208">
        <f t="shared" si="26"/>
        <v>2.8860577327463335</v>
      </c>
      <c r="N145" s="209">
        <f t="shared" si="27"/>
        <v>93.336057732746156</v>
      </c>
      <c r="O145" s="208">
        <v>0</v>
      </c>
      <c r="P145" s="208">
        <v>0</v>
      </c>
      <c r="Q145" s="208">
        <v>0</v>
      </c>
      <c r="R145" s="209">
        <f t="shared" si="28"/>
        <v>93.336057732746156</v>
      </c>
    </row>
    <row r="146" spans="1:19" x14ac:dyDescent="0.2">
      <c r="A146" s="124">
        <v>7</v>
      </c>
      <c r="B146" s="200">
        <f t="shared" si="35"/>
        <v>44378</v>
      </c>
      <c r="C146" s="224">
        <f t="shared" si="42"/>
        <v>44412</v>
      </c>
      <c r="D146" s="224">
        <f t="shared" si="42"/>
        <v>44432</v>
      </c>
      <c r="E146" s="54" t="s">
        <v>16</v>
      </c>
      <c r="F146" s="162">
        <v>9</v>
      </c>
      <c r="G146" s="203">
        <v>5</v>
      </c>
      <c r="H146" s="204">
        <f t="shared" si="25"/>
        <v>870.64</v>
      </c>
      <c r="I146" s="204">
        <f t="shared" si="39"/>
        <v>888.73</v>
      </c>
      <c r="J146" s="205">
        <f t="shared" si="36"/>
        <v>4443.6499999999996</v>
      </c>
      <c r="K146" s="212">
        <f t="shared" si="41"/>
        <v>4353.2</v>
      </c>
      <c r="L146" s="211">
        <f t="shared" si="43"/>
        <v>90.449999999999818</v>
      </c>
      <c r="M146" s="208">
        <f t="shared" si="26"/>
        <v>2.8860577327463335</v>
      </c>
      <c r="N146" s="209">
        <f t="shared" si="27"/>
        <v>93.336057732746156</v>
      </c>
      <c r="O146" s="208">
        <v>0</v>
      </c>
      <c r="P146" s="208">
        <v>0</v>
      </c>
      <c r="Q146" s="208">
        <v>0</v>
      </c>
      <c r="R146" s="209">
        <f t="shared" si="28"/>
        <v>93.336057732746156</v>
      </c>
    </row>
    <row r="147" spans="1:19" x14ac:dyDescent="0.2">
      <c r="A147" s="162">
        <v>8</v>
      </c>
      <c r="B147" s="200">
        <f t="shared" si="35"/>
        <v>44409</v>
      </c>
      <c r="C147" s="224">
        <f t="shared" si="42"/>
        <v>44442</v>
      </c>
      <c r="D147" s="224">
        <f t="shared" si="42"/>
        <v>44463</v>
      </c>
      <c r="E147" s="54" t="s">
        <v>16</v>
      </c>
      <c r="F147" s="162">
        <v>9</v>
      </c>
      <c r="G147" s="203">
        <v>4</v>
      </c>
      <c r="H147" s="204">
        <f t="shared" si="25"/>
        <v>870.64</v>
      </c>
      <c r="I147" s="204">
        <f t="shared" si="39"/>
        <v>888.73</v>
      </c>
      <c r="J147" s="205">
        <f t="shared" si="36"/>
        <v>3554.92</v>
      </c>
      <c r="K147" s="212">
        <f t="shared" si="41"/>
        <v>3482.56</v>
      </c>
      <c r="L147" s="211">
        <f t="shared" si="43"/>
        <v>72.360000000000127</v>
      </c>
      <c r="M147" s="208">
        <f t="shared" si="26"/>
        <v>2.3088461861970671</v>
      </c>
      <c r="N147" s="209">
        <f t="shared" si="27"/>
        <v>74.6688461861972</v>
      </c>
      <c r="O147" s="208">
        <v>0</v>
      </c>
      <c r="P147" s="208">
        <v>0</v>
      </c>
      <c r="Q147" s="208">
        <v>0</v>
      </c>
      <c r="R147" s="209">
        <f t="shared" si="28"/>
        <v>74.6688461861972</v>
      </c>
    </row>
    <row r="148" spans="1:19" x14ac:dyDescent="0.2">
      <c r="A148" s="162">
        <v>9</v>
      </c>
      <c r="B148" s="200">
        <f t="shared" si="35"/>
        <v>44440</v>
      </c>
      <c r="C148" s="224">
        <f t="shared" si="42"/>
        <v>44474</v>
      </c>
      <c r="D148" s="224">
        <f t="shared" si="42"/>
        <v>44494</v>
      </c>
      <c r="E148" s="54" t="s">
        <v>16</v>
      </c>
      <c r="F148" s="162">
        <v>9</v>
      </c>
      <c r="G148" s="203">
        <v>4</v>
      </c>
      <c r="H148" s="204">
        <f t="shared" si="25"/>
        <v>870.64</v>
      </c>
      <c r="I148" s="204">
        <f t="shared" ref="I148:I179" si="44">$J$3</f>
        <v>888.73</v>
      </c>
      <c r="J148" s="205">
        <f t="shared" si="36"/>
        <v>3554.92</v>
      </c>
      <c r="K148" s="212">
        <f t="shared" si="41"/>
        <v>3482.56</v>
      </c>
      <c r="L148" s="211">
        <f t="shared" si="43"/>
        <v>72.360000000000127</v>
      </c>
      <c r="M148" s="208">
        <f t="shared" si="26"/>
        <v>2.3088461861970671</v>
      </c>
      <c r="N148" s="209">
        <f t="shared" si="27"/>
        <v>74.6688461861972</v>
      </c>
      <c r="O148" s="208">
        <v>0</v>
      </c>
      <c r="P148" s="208">
        <v>0</v>
      </c>
      <c r="Q148" s="208">
        <v>0</v>
      </c>
      <c r="R148" s="209">
        <f t="shared" si="28"/>
        <v>74.6688461861972</v>
      </c>
    </row>
    <row r="149" spans="1:19" x14ac:dyDescent="0.2">
      <c r="A149" s="124">
        <v>10</v>
      </c>
      <c r="B149" s="200">
        <f t="shared" ref="B149:B211" si="45">DATE($R$1,A149,1)</f>
        <v>44470</v>
      </c>
      <c r="C149" s="224">
        <f t="shared" si="42"/>
        <v>44503</v>
      </c>
      <c r="D149" s="224">
        <f t="shared" si="42"/>
        <v>44524</v>
      </c>
      <c r="E149" s="54" t="s">
        <v>16</v>
      </c>
      <c r="F149" s="162">
        <v>9</v>
      </c>
      <c r="G149" s="203">
        <v>4</v>
      </c>
      <c r="H149" s="204">
        <f t="shared" ref="H149:H211" si="46">+$K$3</f>
        <v>870.64</v>
      </c>
      <c r="I149" s="204">
        <f t="shared" si="44"/>
        <v>888.73</v>
      </c>
      <c r="J149" s="205">
        <f t="shared" ref="J149:J211" si="47">+$G149*I149</f>
        <v>3554.92</v>
      </c>
      <c r="K149" s="212">
        <f t="shared" si="41"/>
        <v>3482.56</v>
      </c>
      <c r="L149" s="211">
        <f t="shared" si="43"/>
        <v>72.360000000000127</v>
      </c>
      <c r="M149" s="208">
        <f t="shared" ref="M149:M211" si="48">G149/$G$212*$M$14</f>
        <v>2.3088461861970671</v>
      </c>
      <c r="N149" s="209">
        <f t="shared" ref="N149:N211" si="49">SUM(L149:M149)</f>
        <v>74.6688461861972</v>
      </c>
      <c r="O149" s="208">
        <v>0</v>
      </c>
      <c r="P149" s="208">
        <v>0</v>
      </c>
      <c r="Q149" s="208">
        <v>0</v>
      </c>
      <c r="R149" s="209">
        <f t="shared" ref="R149:R211" si="50">+N149-Q149</f>
        <v>74.6688461861972</v>
      </c>
    </row>
    <row r="150" spans="1:19" x14ac:dyDescent="0.2">
      <c r="A150" s="162">
        <v>11</v>
      </c>
      <c r="B150" s="200">
        <f t="shared" si="45"/>
        <v>44501</v>
      </c>
      <c r="C150" s="224">
        <f t="shared" si="42"/>
        <v>44533</v>
      </c>
      <c r="D150" s="224">
        <f t="shared" si="42"/>
        <v>44557</v>
      </c>
      <c r="E150" s="54" t="s">
        <v>16</v>
      </c>
      <c r="F150" s="162">
        <v>9</v>
      </c>
      <c r="G150" s="203">
        <v>4</v>
      </c>
      <c r="H150" s="204">
        <f t="shared" si="46"/>
        <v>870.64</v>
      </c>
      <c r="I150" s="204">
        <f t="shared" si="44"/>
        <v>888.73</v>
      </c>
      <c r="J150" s="205">
        <f t="shared" si="47"/>
        <v>3554.92</v>
      </c>
      <c r="K150" s="212">
        <f t="shared" si="41"/>
        <v>3482.56</v>
      </c>
      <c r="L150" s="211">
        <f t="shared" si="43"/>
        <v>72.360000000000127</v>
      </c>
      <c r="M150" s="208">
        <f t="shared" si="48"/>
        <v>2.3088461861970671</v>
      </c>
      <c r="N150" s="209">
        <f t="shared" si="49"/>
        <v>74.6688461861972</v>
      </c>
      <c r="O150" s="208">
        <v>0</v>
      </c>
      <c r="P150" s="208">
        <v>0</v>
      </c>
      <c r="Q150" s="208">
        <v>0</v>
      </c>
      <c r="R150" s="209">
        <f t="shared" si="50"/>
        <v>74.6688461861972</v>
      </c>
    </row>
    <row r="151" spans="1:19" s="228" customFormat="1" x14ac:dyDescent="0.2">
      <c r="A151" s="162">
        <v>12</v>
      </c>
      <c r="B151" s="226">
        <f t="shared" si="45"/>
        <v>44531</v>
      </c>
      <c r="C151" s="224">
        <f t="shared" si="42"/>
        <v>44566</v>
      </c>
      <c r="D151" s="224">
        <f t="shared" si="42"/>
        <v>44585</v>
      </c>
      <c r="E151" s="227" t="s">
        <v>16</v>
      </c>
      <c r="F151" s="173">
        <v>9</v>
      </c>
      <c r="G151" s="215">
        <v>1</v>
      </c>
      <c r="H151" s="216">
        <f t="shared" si="46"/>
        <v>870.64</v>
      </c>
      <c r="I151" s="216">
        <f t="shared" si="44"/>
        <v>888.73</v>
      </c>
      <c r="J151" s="217">
        <f t="shared" si="47"/>
        <v>888.73</v>
      </c>
      <c r="K151" s="218">
        <f t="shared" si="41"/>
        <v>870.64</v>
      </c>
      <c r="L151" s="219">
        <f t="shared" si="43"/>
        <v>18.090000000000032</v>
      </c>
      <c r="M151" s="208">
        <f t="shared" si="48"/>
        <v>0.57721154654926676</v>
      </c>
      <c r="N151" s="209">
        <f t="shared" si="49"/>
        <v>18.6672115465493</v>
      </c>
      <c r="O151" s="208">
        <v>0</v>
      </c>
      <c r="P151" s="208">
        <v>0</v>
      </c>
      <c r="Q151" s="208">
        <v>0</v>
      </c>
      <c r="R151" s="209">
        <f t="shared" si="50"/>
        <v>18.6672115465493</v>
      </c>
    </row>
    <row r="152" spans="1:19" x14ac:dyDescent="0.2">
      <c r="A152" s="124">
        <v>1</v>
      </c>
      <c r="B152" s="200">
        <f t="shared" si="45"/>
        <v>44197</v>
      </c>
      <c r="C152" s="221">
        <f t="shared" ref="C152:D171" si="51">+C140</f>
        <v>44230</v>
      </c>
      <c r="D152" s="221">
        <f t="shared" si="51"/>
        <v>44251</v>
      </c>
      <c r="E152" s="231" t="s">
        <v>54</v>
      </c>
      <c r="F152" s="124">
        <v>9</v>
      </c>
      <c r="G152" s="203">
        <v>104</v>
      </c>
      <c r="H152" s="204">
        <f t="shared" si="46"/>
        <v>870.64</v>
      </c>
      <c r="I152" s="204">
        <f t="shared" si="44"/>
        <v>888.73</v>
      </c>
      <c r="J152" s="205">
        <f t="shared" si="47"/>
        <v>92427.92</v>
      </c>
      <c r="K152" s="206">
        <f t="shared" si="41"/>
        <v>90546.559999999998</v>
      </c>
      <c r="L152" s="207">
        <f t="shared" si="43"/>
        <v>1881.3600000000006</v>
      </c>
      <c r="M152" s="208">
        <f t="shared" si="48"/>
        <v>60.030000841123744</v>
      </c>
      <c r="N152" s="209">
        <f t="shared" si="49"/>
        <v>1941.3900008411242</v>
      </c>
      <c r="O152" s="208">
        <v>0</v>
      </c>
      <c r="P152" s="208">
        <v>0</v>
      </c>
      <c r="Q152" s="208">
        <v>0</v>
      </c>
      <c r="R152" s="209">
        <f t="shared" si="50"/>
        <v>1941.3900008411242</v>
      </c>
    </row>
    <row r="153" spans="1:19" x14ac:dyDescent="0.2">
      <c r="A153" s="162">
        <v>2</v>
      </c>
      <c r="B153" s="200">
        <f t="shared" si="45"/>
        <v>44228</v>
      </c>
      <c r="C153" s="224">
        <f t="shared" si="51"/>
        <v>44258</v>
      </c>
      <c r="D153" s="224">
        <f t="shared" si="51"/>
        <v>44279</v>
      </c>
      <c r="E153" s="232" t="s">
        <v>54</v>
      </c>
      <c r="F153" s="162">
        <v>9</v>
      </c>
      <c r="G153" s="203">
        <v>133</v>
      </c>
      <c r="H153" s="204">
        <f t="shared" si="46"/>
        <v>870.64</v>
      </c>
      <c r="I153" s="204">
        <f t="shared" si="44"/>
        <v>888.73</v>
      </c>
      <c r="J153" s="205">
        <f t="shared" si="47"/>
        <v>118201.09</v>
      </c>
      <c r="K153" s="206">
        <f t="shared" si="41"/>
        <v>115795.12</v>
      </c>
      <c r="L153" s="207">
        <f t="shared" si="43"/>
        <v>2405.9700000000012</v>
      </c>
      <c r="M153" s="208">
        <f t="shared" si="48"/>
        <v>76.769135691052469</v>
      </c>
      <c r="N153" s="209">
        <f t="shared" si="49"/>
        <v>2482.7391356910534</v>
      </c>
      <c r="O153" s="208">
        <v>0</v>
      </c>
      <c r="P153" s="208">
        <v>0</v>
      </c>
      <c r="Q153" s="208">
        <v>0</v>
      </c>
      <c r="R153" s="209">
        <f t="shared" si="50"/>
        <v>2482.7391356910534</v>
      </c>
    </row>
    <row r="154" spans="1:19" x14ac:dyDescent="0.2">
      <c r="A154" s="162">
        <v>3</v>
      </c>
      <c r="B154" s="200">
        <f t="shared" si="45"/>
        <v>44256</v>
      </c>
      <c r="C154" s="224">
        <f t="shared" si="51"/>
        <v>44291</v>
      </c>
      <c r="D154" s="224">
        <f t="shared" si="51"/>
        <v>44312</v>
      </c>
      <c r="E154" s="232" t="s">
        <v>54</v>
      </c>
      <c r="F154" s="162">
        <v>9</v>
      </c>
      <c r="G154" s="203">
        <v>87</v>
      </c>
      <c r="H154" s="204">
        <f t="shared" si="46"/>
        <v>870.64</v>
      </c>
      <c r="I154" s="204">
        <f t="shared" si="44"/>
        <v>888.73</v>
      </c>
      <c r="J154" s="205">
        <f t="shared" si="47"/>
        <v>77319.509999999995</v>
      </c>
      <c r="K154" s="206">
        <f t="shared" si="41"/>
        <v>75745.679999999993</v>
      </c>
      <c r="L154" s="207">
        <f>+J154-K154</f>
        <v>1573.8300000000017</v>
      </c>
      <c r="M154" s="208">
        <f t="shared" si="48"/>
        <v>50.21740454978621</v>
      </c>
      <c r="N154" s="209">
        <f t="shared" si="49"/>
        <v>1624.0474045497879</v>
      </c>
      <c r="O154" s="208">
        <v>0</v>
      </c>
      <c r="P154" s="208">
        <v>0</v>
      </c>
      <c r="Q154" s="208">
        <v>0</v>
      </c>
      <c r="R154" s="209">
        <f t="shared" si="50"/>
        <v>1624.0474045497879</v>
      </c>
    </row>
    <row r="155" spans="1:19" x14ac:dyDescent="0.2">
      <c r="A155" s="124">
        <v>4</v>
      </c>
      <c r="B155" s="200">
        <f t="shared" si="45"/>
        <v>44287</v>
      </c>
      <c r="C155" s="224">
        <f t="shared" si="51"/>
        <v>44321</v>
      </c>
      <c r="D155" s="224">
        <f t="shared" si="51"/>
        <v>44340</v>
      </c>
      <c r="E155" s="232" t="s">
        <v>54</v>
      </c>
      <c r="F155" s="162">
        <v>9</v>
      </c>
      <c r="G155" s="203">
        <v>77</v>
      </c>
      <c r="H155" s="204">
        <f t="shared" si="46"/>
        <v>870.64</v>
      </c>
      <c r="I155" s="204">
        <f t="shared" si="44"/>
        <v>888.73</v>
      </c>
      <c r="J155" s="205">
        <f t="shared" si="47"/>
        <v>68432.210000000006</v>
      </c>
      <c r="K155" s="206">
        <f t="shared" si="41"/>
        <v>67039.28</v>
      </c>
      <c r="L155" s="207">
        <f t="shared" ref="L155:L165" si="52">+J155-K155</f>
        <v>1392.9300000000076</v>
      </c>
      <c r="M155" s="208">
        <f t="shared" si="48"/>
        <v>44.445289084293542</v>
      </c>
      <c r="N155" s="209">
        <f t="shared" si="49"/>
        <v>1437.3752890843011</v>
      </c>
      <c r="O155" s="208">
        <v>0</v>
      </c>
      <c r="P155" s="208">
        <v>0</v>
      </c>
      <c r="Q155" s="208">
        <v>0</v>
      </c>
      <c r="R155" s="209">
        <f t="shared" si="50"/>
        <v>1437.3752890843011</v>
      </c>
    </row>
    <row r="156" spans="1:19" x14ac:dyDescent="0.2">
      <c r="A156" s="162">
        <v>5</v>
      </c>
      <c r="B156" s="200">
        <f t="shared" si="45"/>
        <v>44317</v>
      </c>
      <c r="C156" s="224">
        <f t="shared" si="51"/>
        <v>44350</v>
      </c>
      <c r="D156" s="224">
        <f t="shared" si="51"/>
        <v>44371</v>
      </c>
      <c r="E156" s="232" t="s">
        <v>54</v>
      </c>
      <c r="F156" s="162">
        <v>9</v>
      </c>
      <c r="G156" s="203">
        <v>104</v>
      </c>
      <c r="H156" s="204">
        <f t="shared" si="46"/>
        <v>870.64</v>
      </c>
      <c r="I156" s="204">
        <f t="shared" si="44"/>
        <v>888.73</v>
      </c>
      <c r="J156" s="205">
        <f t="shared" si="47"/>
        <v>92427.92</v>
      </c>
      <c r="K156" s="206">
        <f t="shared" si="41"/>
        <v>90546.559999999998</v>
      </c>
      <c r="L156" s="207">
        <f t="shared" si="52"/>
        <v>1881.3600000000006</v>
      </c>
      <c r="M156" s="208">
        <f t="shared" si="48"/>
        <v>60.030000841123744</v>
      </c>
      <c r="N156" s="209">
        <f t="shared" si="49"/>
        <v>1941.3900008411242</v>
      </c>
      <c r="O156" s="208">
        <v>0</v>
      </c>
      <c r="P156" s="208">
        <v>0</v>
      </c>
      <c r="Q156" s="208">
        <v>0</v>
      </c>
      <c r="R156" s="209">
        <f t="shared" si="50"/>
        <v>1941.3900008411242</v>
      </c>
    </row>
    <row r="157" spans="1:19" x14ac:dyDescent="0.2">
      <c r="A157" s="162">
        <v>6</v>
      </c>
      <c r="B157" s="200">
        <f t="shared" si="45"/>
        <v>44348</v>
      </c>
      <c r="C157" s="224">
        <f t="shared" si="51"/>
        <v>44383</v>
      </c>
      <c r="D157" s="224">
        <f t="shared" si="51"/>
        <v>44401</v>
      </c>
      <c r="E157" s="232" t="s">
        <v>54</v>
      </c>
      <c r="F157" s="162">
        <v>9</v>
      </c>
      <c r="G157" s="203">
        <v>144</v>
      </c>
      <c r="H157" s="204">
        <f t="shared" si="46"/>
        <v>870.64</v>
      </c>
      <c r="I157" s="204">
        <f t="shared" si="44"/>
        <v>888.73</v>
      </c>
      <c r="J157" s="205">
        <f t="shared" si="47"/>
        <v>127977.12</v>
      </c>
      <c r="K157" s="206">
        <f t="shared" si="41"/>
        <v>125372.16</v>
      </c>
      <c r="L157" s="211">
        <f t="shared" si="52"/>
        <v>2604.9599999999919</v>
      </c>
      <c r="M157" s="208">
        <f t="shared" si="48"/>
        <v>83.118462703094409</v>
      </c>
      <c r="N157" s="209">
        <f t="shared" si="49"/>
        <v>2688.0784627030862</v>
      </c>
      <c r="O157" s="208">
        <v>0</v>
      </c>
      <c r="P157" s="208">
        <v>0</v>
      </c>
      <c r="Q157" s="208">
        <v>0</v>
      </c>
      <c r="R157" s="209">
        <f t="shared" si="50"/>
        <v>2688.0784627030862</v>
      </c>
    </row>
    <row r="158" spans="1:19" x14ac:dyDescent="0.2">
      <c r="A158" s="124">
        <v>7</v>
      </c>
      <c r="B158" s="200">
        <f t="shared" si="45"/>
        <v>44378</v>
      </c>
      <c r="C158" s="224">
        <f t="shared" si="51"/>
        <v>44412</v>
      </c>
      <c r="D158" s="224">
        <f t="shared" si="51"/>
        <v>44432</v>
      </c>
      <c r="E158" s="232" t="s">
        <v>54</v>
      </c>
      <c r="F158" s="162">
        <v>9</v>
      </c>
      <c r="G158" s="203">
        <v>161</v>
      </c>
      <c r="H158" s="204">
        <f t="shared" si="46"/>
        <v>870.64</v>
      </c>
      <c r="I158" s="204">
        <f t="shared" si="44"/>
        <v>888.73</v>
      </c>
      <c r="J158" s="205">
        <f t="shared" si="47"/>
        <v>143085.53</v>
      </c>
      <c r="K158" s="212">
        <f t="shared" si="41"/>
        <v>140173.04</v>
      </c>
      <c r="L158" s="211">
        <f t="shared" si="52"/>
        <v>2912.4899999999907</v>
      </c>
      <c r="M158" s="208">
        <f t="shared" si="48"/>
        <v>92.931058994431936</v>
      </c>
      <c r="N158" s="209">
        <f t="shared" si="49"/>
        <v>3005.4210589944228</v>
      </c>
      <c r="O158" s="208">
        <v>0</v>
      </c>
      <c r="P158" s="208">
        <v>0</v>
      </c>
      <c r="Q158" s="208">
        <v>0</v>
      </c>
      <c r="R158" s="209">
        <f t="shared" si="50"/>
        <v>3005.4210589944228</v>
      </c>
    </row>
    <row r="159" spans="1:19" x14ac:dyDescent="0.2">
      <c r="A159" s="162">
        <v>8</v>
      </c>
      <c r="B159" s="200">
        <f t="shared" si="45"/>
        <v>44409</v>
      </c>
      <c r="C159" s="224">
        <f t="shared" si="51"/>
        <v>44442</v>
      </c>
      <c r="D159" s="224">
        <f t="shared" si="51"/>
        <v>44463</v>
      </c>
      <c r="E159" s="232" t="s">
        <v>54</v>
      </c>
      <c r="F159" s="124">
        <v>9</v>
      </c>
      <c r="G159" s="203">
        <v>163</v>
      </c>
      <c r="H159" s="204">
        <f t="shared" si="46"/>
        <v>870.64</v>
      </c>
      <c r="I159" s="204">
        <f t="shared" si="44"/>
        <v>888.73</v>
      </c>
      <c r="J159" s="205">
        <f t="shared" si="47"/>
        <v>144862.99</v>
      </c>
      <c r="K159" s="212">
        <f t="shared" si="41"/>
        <v>141914.32</v>
      </c>
      <c r="L159" s="211">
        <f t="shared" si="52"/>
        <v>2948.6699999999837</v>
      </c>
      <c r="M159" s="208">
        <f t="shared" si="48"/>
        <v>94.08548208753048</v>
      </c>
      <c r="N159" s="209">
        <f t="shared" si="49"/>
        <v>3042.7554820875143</v>
      </c>
      <c r="O159" s="208">
        <v>0</v>
      </c>
      <c r="P159" s="208">
        <v>0</v>
      </c>
      <c r="Q159" s="208">
        <v>0</v>
      </c>
      <c r="R159" s="209">
        <f t="shared" si="50"/>
        <v>3042.7554820875143</v>
      </c>
      <c r="S159" s="52"/>
    </row>
    <row r="160" spans="1:19" x14ac:dyDescent="0.2">
      <c r="A160" s="162">
        <v>9</v>
      </c>
      <c r="B160" s="200">
        <f t="shared" si="45"/>
        <v>44440</v>
      </c>
      <c r="C160" s="224">
        <f t="shared" si="51"/>
        <v>44474</v>
      </c>
      <c r="D160" s="224">
        <f t="shared" si="51"/>
        <v>44494</v>
      </c>
      <c r="E160" s="232" t="s">
        <v>54</v>
      </c>
      <c r="F160" s="124">
        <v>9</v>
      </c>
      <c r="G160" s="203">
        <v>153</v>
      </c>
      <c r="H160" s="204">
        <f t="shared" si="46"/>
        <v>870.64</v>
      </c>
      <c r="I160" s="204">
        <f t="shared" si="44"/>
        <v>888.73</v>
      </c>
      <c r="J160" s="205">
        <f t="shared" si="47"/>
        <v>135975.69</v>
      </c>
      <c r="K160" s="212">
        <f t="shared" si="41"/>
        <v>133207.91999999998</v>
      </c>
      <c r="L160" s="211">
        <f t="shared" si="52"/>
        <v>2767.7700000000186</v>
      </c>
      <c r="M160" s="208">
        <f t="shared" si="48"/>
        <v>88.313366622037819</v>
      </c>
      <c r="N160" s="209">
        <f t="shared" si="49"/>
        <v>2856.0833666220565</v>
      </c>
      <c r="O160" s="208">
        <v>0</v>
      </c>
      <c r="P160" s="208">
        <v>0</v>
      </c>
      <c r="Q160" s="208">
        <v>0</v>
      </c>
      <c r="R160" s="209">
        <f t="shared" si="50"/>
        <v>2856.0833666220565</v>
      </c>
    </row>
    <row r="161" spans="1:19" x14ac:dyDescent="0.2">
      <c r="A161" s="124">
        <v>10</v>
      </c>
      <c r="B161" s="200">
        <f t="shared" si="45"/>
        <v>44470</v>
      </c>
      <c r="C161" s="224">
        <f t="shared" si="51"/>
        <v>44503</v>
      </c>
      <c r="D161" s="224">
        <f t="shared" si="51"/>
        <v>44524</v>
      </c>
      <c r="E161" s="232" t="s">
        <v>54</v>
      </c>
      <c r="F161" s="124">
        <v>9</v>
      </c>
      <c r="G161" s="203">
        <v>117</v>
      </c>
      <c r="H161" s="204">
        <f t="shared" si="46"/>
        <v>870.64</v>
      </c>
      <c r="I161" s="204">
        <f t="shared" si="44"/>
        <v>888.73</v>
      </c>
      <c r="J161" s="205">
        <f t="shared" si="47"/>
        <v>103981.41</v>
      </c>
      <c r="K161" s="212">
        <f t="shared" si="41"/>
        <v>101864.88</v>
      </c>
      <c r="L161" s="211">
        <f t="shared" si="52"/>
        <v>2116.5299999999988</v>
      </c>
      <c r="M161" s="208">
        <f t="shared" si="48"/>
        <v>67.533750946264206</v>
      </c>
      <c r="N161" s="209">
        <f t="shared" si="49"/>
        <v>2184.0637509462631</v>
      </c>
      <c r="O161" s="208">
        <v>0</v>
      </c>
      <c r="P161" s="208">
        <v>0</v>
      </c>
      <c r="Q161" s="208">
        <v>0</v>
      </c>
      <c r="R161" s="209">
        <f t="shared" si="50"/>
        <v>2184.0637509462631</v>
      </c>
    </row>
    <row r="162" spans="1:19" x14ac:dyDescent="0.2">
      <c r="A162" s="162">
        <v>11</v>
      </c>
      <c r="B162" s="200">
        <f t="shared" si="45"/>
        <v>44501</v>
      </c>
      <c r="C162" s="224">
        <f t="shared" si="51"/>
        <v>44533</v>
      </c>
      <c r="D162" s="224">
        <f t="shared" si="51"/>
        <v>44557</v>
      </c>
      <c r="E162" s="232" t="s">
        <v>54</v>
      </c>
      <c r="F162" s="124">
        <v>9</v>
      </c>
      <c r="G162" s="203">
        <v>91</v>
      </c>
      <c r="H162" s="204">
        <f t="shared" si="46"/>
        <v>870.64</v>
      </c>
      <c r="I162" s="204">
        <f t="shared" si="44"/>
        <v>888.73</v>
      </c>
      <c r="J162" s="205">
        <f t="shared" si="47"/>
        <v>80874.430000000008</v>
      </c>
      <c r="K162" s="212">
        <f t="shared" si="41"/>
        <v>79228.240000000005</v>
      </c>
      <c r="L162" s="211">
        <f t="shared" si="52"/>
        <v>1646.1900000000023</v>
      </c>
      <c r="M162" s="208">
        <f t="shared" si="48"/>
        <v>52.526250735983275</v>
      </c>
      <c r="N162" s="209">
        <f t="shared" si="49"/>
        <v>1698.7162507359856</v>
      </c>
      <c r="O162" s="208">
        <v>0</v>
      </c>
      <c r="P162" s="208">
        <v>0</v>
      </c>
      <c r="Q162" s="208">
        <v>0</v>
      </c>
      <c r="R162" s="209">
        <f t="shared" si="50"/>
        <v>1698.7162507359856</v>
      </c>
    </row>
    <row r="163" spans="1:19" s="228" customFormat="1" x14ac:dyDescent="0.2">
      <c r="A163" s="162">
        <v>12</v>
      </c>
      <c r="B163" s="226">
        <f t="shared" si="45"/>
        <v>44531</v>
      </c>
      <c r="C163" s="224">
        <f t="shared" si="51"/>
        <v>44566</v>
      </c>
      <c r="D163" s="224">
        <f t="shared" si="51"/>
        <v>44585</v>
      </c>
      <c r="E163" s="233" t="s">
        <v>54</v>
      </c>
      <c r="F163" s="173">
        <v>9</v>
      </c>
      <c r="G163" s="215">
        <v>94</v>
      </c>
      <c r="H163" s="216">
        <f t="shared" si="46"/>
        <v>870.64</v>
      </c>
      <c r="I163" s="216">
        <f t="shared" si="44"/>
        <v>888.73</v>
      </c>
      <c r="J163" s="217">
        <f t="shared" si="47"/>
        <v>83540.62</v>
      </c>
      <c r="K163" s="218">
        <f t="shared" si="41"/>
        <v>81840.160000000003</v>
      </c>
      <c r="L163" s="219">
        <f t="shared" si="52"/>
        <v>1700.4599999999919</v>
      </c>
      <c r="M163" s="217">
        <f t="shared" si="48"/>
        <v>54.257885375631076</v>
      </c>
      <c r="N163" s="242">
        <f t="shared" si="49"/>
        <v>1754.7178853756229</v>
      </c>
      <c r="O163" s="217">
        <v>0</v>
      </c>
      <c r="P163" s="217">
        <v>0</v>
      </c>
      <c r="Q163" s="217">
        <v>0</v>
      </c>
      <c r="R163" s="242">
        <f t="shared" si="50"/>
        <v>1754.7178853756229</v>
      </c>
    </row>
    <row r="164" spans="1:19" x14ac:dyDescent="0.2">
      <c r="A164" s="124">
        <v>1</v>
      </c>
      <c r="B164" s="200">
        <f t="shared" si="45"/>
        <v>44197</v>
      </c>
      <c r="C164" s="221">
        <f t="shared" si="51"/>
        <v>44230</v>
      </c>
      <c r="D164" s="221">
        <f t="shared" si="51"/>
        <v>44251</v>
      </c>
      <c r="E164" s="231" t="s">
        <v>55</v>
      </c>
      <c r="F164" s="124">
        <v>9</v>
      </c>
      <c r="G164" s="203">
        <v>11</v>
      </c>
      <c r="H164" s="204">
        <f t="shared" si="46"/>
        <v>870.64</v>
      </c>
      <c r="I164" s="204">
        <f t="shared" si="44"/>
        <v>888.73</v>
      </c>
      <c r="J164" s="205">
        <f t="shared" si="47"/>
        <v>9776.0300000000007</v>
      </c>
      <c r="K164" s="206">
        <f t="shared" si="41"/>
        <v>9577.0399999999991</v>
      </c>
      <c r="L164" s="207">
        <f t="shared" si="52"/>
        <v>198.9900000000016</v>
      </c>
      <c r="M164" s="208">
        <f t="shared" si="48"/>
        <v>6.3493270120419343</v>
      </c>
      <c r="N164" s="209">
        <f t="shared" si="49"/>
        <v>205.33932701204353</v>
      </c>
      <c r="O164" s="208">
        <v>0</v>
      </c>
      <c r="P164" s="208">
        <v>0</v>
      </c>
      <c r="Q164" s="208">
        <v>0</v>
      </c>
      <c r="R164" s="209">
        <f t="shared" si="50"/>
        <v>205.33932701204353</v>
      </c>
    </row>
    <row r="165" spans="1:19" x14ac:dyDescent="0.2">
      <c r="A165" s="162">
        <v>2</v>
      </c>
      <c r="B165" s="200">
        <f t="shared" si="45"/>
        <v>44228</v>
      </c>
      <c r="C165" s="224">
        <f t="shared" si="51"/>
        <v>44258</v>
      </c>
      <c r="D165" s="224">
        <f t="shared" si="51"/>
        <v>44279</v>
      </c>
      <c r="E165" s="232" t="s">
        <v>55</v>
      </c>
      <c r="F165" s="162">
        <v>9</v>
      </c>
      <c r="G165" s="203">
        <v>8</v>
      </c>
      <c r="H165" s="204">
        <f t="shared" si="46"/>
        <v>870.64</v>
      </c>
      <c r="I165" s="204">
        <f t="shared" si="44"/>
        <v>888.73</v>
      </c>
      <c r="J165" s="205">
        <f t="shared" si="47"/>
        <v>7109.84</v>
      </c>
      <c r="K165" s="206">
        <f t="shared" si="41"/>
        <v>6965.12</v>
      </c>
      <c r="L165" s="207">
        <f t="shared" si="52"/>
        <v>144.72000000000025</v>
      </c>
      <c r="M165" s="208">
        <f t="shared" si="48"/>
        <v>4.6176923723941341</v>
      </c>
      <c r="N165" s="209">
        <f t="shared" si="49"/>
        <v>149.3376923723944</v>
      </c>
      <c r="O165" s="208">
        <v>0</v>
      </c>
      <c r="P165" s="208">
        <v>0</v>
      </c>
      <c r="Q165" s="208">
        <v>0</v>
      </c>
      <c r="R165" s="209">
        <f t="shared" si="50"/>
        <v>149.3376923723944</v>
      </c>
    </row>
    <row r="166" spans="1:19" x14ac:dyDescent="0.2">
      <c r="A166" s="162">
        <v>3</v>
      </c>
      <c r="B166" s="200">
        <f t="shared" si="45"/>
        <v>44256</v>
      </c>
      <c r="C166" s="224">
        <f t="shared" si="51"/>
        <v>44291</v>
      </c>
      <c r="D166" s="224">
        <f t="shared" si="51"/>
        <v>44312</v>
      </c>
      <c r="E166" s="232" t="s">
        <v>55</v>
      </c>
      <c r="F166" s="162">
        <v>9</v>
      </c>
      <c r="G166" s="203">
        <v>7</v>
      </c>
      <c r="H166" s="204">
        <f t="shared" si="46"/>
        <v>870.64</v>
      </c>
      <c r="I166" s="204">
        <f t="shared" si="44"/>
        <v>888.73</v>
      </c>
      <c r="J166" s="205">
        <f t="shared" si="47"/>
        <v>6221.1100000000006</v>
      </c>
      <c r="K166" s="206">
        <f t="shared" si="41"/>
        <v>6094.48</v>
      </c>
      <c r="L166" s="207">
        <f>+J166-K166</f>
        <v>126.63000000000102</v>
      </c>
      <c r="M166" s="208">
        <f t="shared" si="48"/>
        <v>4.0404808258448677</v>
      </c>
      <c r="N166" s="209">
        <f t="shared" si="49"/>
        <v>130.67048082584589</v>
      </c>
      <c r="O166" s="208">
        <v>0</v>
      </c>
      <c r="P166" s="208">
        <v>0</v>
      </c>
      <c r="Q166" s="208">
        <v>0</v>
      </c>
      <c r="R166" s="209">
        <f t="shared" si="50"/>
        <v>130.67048082584589</v>
      </c>
    </row>
    <row r="167" spans="1:19" x14ac:dyDescent="0.2">
      <c r="A167" s="124">
        <v>4</v>
      </c>
      <c r="B167" s="200">
        <f t="shared" si="45"/>
        <v>44287</v>
      </c>
      <c r="C167" s="224">
        <f t="shared" si="51"/>
        <v>44321</v>
      </c>
      <c r="D167" s="224">
        <f t="shared" si="51"/>
        <v>44340</v>
      </c>
      <c r="E167" s="232" t="s">
        <v>55</v>
      </c>
      <c r="F167" s="162">
        <v>9</v>
      </c>
      <c r="G167" s="203">
        <v>12</v>
      </c>
      <c r="H167" s="204">
        <f t="shared" si="46"/>
        <v>870.64</v>
      </c>
      <c r="I167" s="204">
        <f t="shared" si="44"/>
        <v>888.73</v>
      </c>
      <c r="J167" s="205">
        <f t="shared" si="47"/>
        <v>10664.76</v>
      </c>
      <c r="K167" s="206">
        <f t="shared" si="41"/>
        <v>10447.68</v>
      </c>
      <c r="L167" s="207">
        <f t="shared" ref="L167:L177" si="53">+J167-K167</f>
        <v>217.07999999999993</v>
      </c>
      <c r="M167" s="208">
        <f t="shared" si="48"/>
        <v>6.9265385585912007</v>
      </c>
      <c r="N167" s="209">
        <f t="shared" si="49"/>
        <v>224.00653855859113</v>
      </c>
      <c r="O167" s="208">
        <v>0</v>
      </c>
      <c r="P167" s="208">
        <v>0</v>
      </c>
      <c r="Q167" s="208">
        <v>0</v>
      </c>
      <c r="R167" s="209">
        <f t="shared" si="50"/>
        <v>224.00653855859113</v>
      </c>
    </row>
    <row r="168" spans="1:19" x14ac:dyDescent="0.2">
      <c r="A168" s="162">
        <v>5</v>
      </c>
      <c r="B168" s="200">
        <f t="shared" si="45"/>
        <v>44317</v>
      </c>
      <c r="C168" s="224">
        <f t="shared" si="51"/>
        <v>44350</v>
      </c>
      <c r="D168" s="224">
        <f t="shared" si="51"/>
        <v>44371</v>
      </c>
      <c r="E168" s="232" t="s">
        <v>55</v>
      </c>
      <c r="F168" s="162">
        <v>9</v>
      </c>
      <c r="G168" s="203">
        <v>11</v>
      </c>
      <c r="H168" s="204">
        <f t="shared" si="46"/>
        <v>870.64</v>
      </c>
      <c r="I168" s="204">
        <f t="shared" si="44"/>
        <v>888.73</v>
      </c>
      <c r="J168" s="205">
        <f t="shared" si="47"/>
        <v>9776.0300000000007</v>
      </c>
      <c r="K168" s="206">
        <f t="shared" si="41"/>
        <v>9577.0399999999991</v>
      </c>
      <c r="L168" s="207">
        <f t="shared" si="53"/>
        <v>198.9900000000016</v>
      </c>
      <c r="M168" s="208">
        <f t="shared" si="48"/>
        <v>6.3493270120419343</v>
      </c>
      <c r="N168" s="209">
        <f t="shared" si="49"/>
        <v>205.33932701204353</v>
      </c>
      <c r="O168" s="208">
        <v>0</v>
      </c>
      <c r="P168" s="208">
        <v>0</v>
      </c>
      <c r="Q168" s="208">
        <v>0</v>
      </c>
      <c r="R168" s="209">
        <f t="shared" si="50"/>
        <v>205.33932701204353</v>
      </c>
    </row>
    <row r="169" spans="1:19" x14ac:dyDescent="0.2">
      <c r="A169" s="162">
        <v>6</v>
      </c>
      <c r="B169" s="200">
        <f t="shared" si="45"/>
        <v>44348</v>
      </c>
      <c r="C169" s="224">
        <f t="shared" si="51"/>
        <v>44383</v>
      </c>
      <c r="D169" s="224">
        <f t="shared" si="51"/>
        <v>44401</v>
      </c>
      <c r="E169" s="232" t="s">
        <v>55</v>
      </c>
      <c r="F169" s="162">
        <v>9</v>
      </c>
      <c r="G169" s="203">
        <v>13</v>
      </c>
      <c r="H169" s="204">
        <f t="shared" si="46"/>
        <v>870.64</v>
      </c>
      <c r="I169" s="204">
        <f t="shared" si="44"/>
        <v>888.73</v>
      </c>
      <c r="J169" s="205">
        <f t="shared" si="47"/>
        <v>11553.49</v>
      </c>
      <c r="K169" s="206">
        <f t="shared" si="41"/>
        <v>11318.32</v>
      </c>
      <c r="L169" s="211">
        <f t="shared" si="53"/>
        <v>235.17000000000007</v>
      </c>
      <c r="M169" s="208">
        <f t="shared" si="48"/>
        <v>7.503750105140468</v>
      </c>
      <c r="N169" s="209">
        <f t="shared" si="49"/>
        <v>242.67375010514053</v>
      </c>
      <c r="O169" s="208">
        <v>0</v>
      </c>
      <c r="P169" s="208">
        <v>0</v>
      </c>
      <c r="Q169" s="208">
        <v>0</v>
      </c>
      <c r="R169" s="209">
        <f t="shared" si="50"/>
        <v>242.67375010514053</v>
      </c>
    </row>
    <row r="170" spans="1:19" x14ac:dyDescent="0.2">
      <c r="A170" s="124">
        <v>7</v>
      </c>
      <c r="B170" s="200">
        <f t="shared" si="45"/>
        <v>44378</v>
      </c>
      <c r="C170" s="224">
        <f t="shared" si="51"/>
        <v>44412</v>
      </c>
      <c r="D170" s="224">
        <f t="shared" si="51"/>
        <v>44432</v>
      </c>
      <c r="E170" s="232" t="s">
        <v>55</v>
      </c>
      <c r="F170" s="162">
        <v>9</v>
      </c>
      <c r="G170" s="203">
        <v>13</v>
      </c>
      <c r="H170" s="204">
        <f t="shared" si="46"/>
        <v>870.64</v>
      </c>
      <c r="I170" s="204">
        <f t="shared" si="44"/>
        <v>888.73</v>
      </c>
      <c r="J170" s="205">
        <f t="shared" si="47"/>
        <v>11553.49</v>
      </c>
      <c r="K170" s="212">
        <f t="shared" si="41"/>
        <v>11318.32</v>
      </c>
      <c r="L170" s="211">
        <f t="shared" si="53"/>
        <v>235.17000000000007</v>
      </c>
      <c r="M170" s="208">
        <f t="shared" si="48"/>
        <v>7.503750105140468</v>
      </c>
      <c r="N170" s="209">
        <f t="shared" si="49"/>
        <v>242.67375010514053</v>
      </c>
      <c r="O170" s="208">
        <v>0</v>
      </c>
      <c r="P170" s="208">
        <v>0</v>
      </c>
      <c r="Q170" s="208">
        <v>0</v>
      </c>
      <c r="R170" s="209">
        <f t="shared" si="50"/>
        <v>242.67375010514053</v>
      </c>
    </row>
    <row r="171" spans="1:19" x14ac:dyDescent="0.2">
      <c r="A171" s="162">
        <v>8</v>
      </c>
      <c r="B171" s="200">
        <f t="shared" si="45"/>
        <v>44409</v>
      </c>
      <c r="C171" s="224">
        <f t="shared" si="51"/>
        <v>44442</v>
      </c>
      <c r="D171" s="224">
        <f t="shared" si="51"/>
        <v>44463</v>
      </c>
      <c r="E171" s="232" t="s">
        <v>55</v>
      </c>
      <c r="F171" s="124">
        <v>9</v>
      </c>
      <c r="G171" s="203">
        <v>12</v>
      </c>
      <c r="H171" s="204">
        <f t="shared" si="46"/>
        <v>870.64</v>
      </c>
      <c r="I171" s="204">
        <f t="shared" si="44"/>
        <v>888.73</v>
      </c>
      <c r="J171" s="205">
        <f t="shared" si="47"/>
        <v>10664.76</v>
      </c>
      <c r="K171" s="212">
        <f t="shared" si="41"/>
        <v>10447.68</v>
      </c>
      <c r="L171" s="211">
        <f t="shared" si="53"/>
        <v>217.07999999999993</v>
      </c>
      <c r="M171" s="208">
        <f t="shared" si="48"/>
        <v>6.9265385585912007</v>
      </c>
      <c r="N171" s="209">
        <f t="shared" si="49"/>
        <v>224.00653855859113</v>
      </c>
      <c r="O171" s="208">
        <v>0</v>
      </c>
      <c r="P171" s="208">
        <v>0</v>
      </c>
      <c r="Q171" s="208">
        <v>0</v>
      </c>
      <c r="R171" s="209">
        <f t="shared" si="50"/>
        <v>224.00653855859113</v>
      </c>
      <c r="S171" s="52"/>
    </row>
    <row r="172" spans="1:19" x14ac:dyDescent="0.2">
      <c r="A172" s="162">
        <v>9</v>
      </c>
      <c r="B172" s="200">
        <f t="shared" si="45"/>
        <v>44440</v>
      </c>
      <c r="C172" s="224">
        <f t="shared" ref="C172:D175" si="54">+C160</f>
        <v>44474</v>
      </c>
      <c r="D172" s="224">
        <f t="shared" si="54"/>
        <v>44494</v>
      </c>
      <c r="E172" s="232" t="s">
        <v>55</v>
      </c>
      <c r="F172" s="124">
        <v>9</v>
      </c>
      <c r="G172" s="203">
        <v>13</v>
      </c>
      <c r="H172" s="204">
        <f t="shared" si="46"/>
        <v>870.64</v>
      </c>
      <c r="I172" s="204">
        <f t="shared" si="44"/>
        <v>888.73</v>
      </c>
      <c r="J172" s="205">
        <f t="shared" si="47"/>
        <v>11553.49</v>
      </c>
      <c r="K172" s="212">
        <f t="shared" si="41"/>
        <v>11318.32</v>
      </c>
      <c r="L172" s="211">
        <f t="shared" si="53"/>
        <v>235.17000000000007</v>
      </c>
      <c r="M172" s="208">
        <f t="shared" si="48"/>
        <v>7.503750105140468</v>
      </c>
      <c r="N172" s="209">
        <f t="shared" si="49"/>
        <v>242.67375010514053</v>
      </c>
      <c r="O172" s="208">
        <v>0</v>
      </c>
      <c r="P172" s="208">
        <v>0</v>
      </c>
      <c r="Q172" s="208">
        <v>0</v>
      </c>
      <c r="R172" s="209">
        <f t="shared" si="50"/>
        <v>242.67375010514053</v>
      </c>
    </row>
    <row r="173" spans="1:19" x14ac:dyDescent="0.2">
      <c r="A173" s="124">
        <v>10</v>
      </c>
      <c r="B173" s="200">
        <f t="shared" si="45"/>
        <v>44470</v>
      </c>
      <c r="C173" s="224">
        <f t="shared" si="54"/>
        <v>44503</v>
      </c>
      <c r="D173" s="224">
        <f t="shared" si="54"/>
        <v>44524</v>
      </c>
      <c r="E173" s="232" t="s">
        <v>55</v>
      </c>
      <c r="F173" s="124">
        <v>9</v>
      </c>
      <c r="G173" s="203">
        <v>8</v>
      </c>
      <c r="H173" s="204">
        <f t="shared" si="46"/>
        <v>870.64</v>
      </c>
      <c r="I173" s="204">
        <f t="shared" si="44"/>
        <v>888.73</v>
      </c>
      <c r="J173" s="205">
        <f t="shared" si="47"/>
        <v>7109.84</v>
      </c>
      <c r="K173" s="212">
        <f t="shared" si="41"/>
        <v>6965.12</v>
      </c>
      <c r="L173" s="211">
        <f t="shared" si="53"/>
        <v>144.72000000000025</v>
      </c>
      <c r="M173" s="208">
        <f t="shared" si="48"/>
        <v>4.6176923723941341</v>
      </c>
      <c r="N173" s="209">
        <f t="shared" si="49"/>
        <v>149.3376923723944</v>
      </c>
      <c r="O173" s="208">
        <v>0</v>
      </c>
      <c r="P173" s="208">
        <v>0</v>
      </c>
      <c r="Q173" s="208">
        <v>0</v>
      </c>
      <c r="R173" s="209">
        <f t="shared" si="50"/>
        <v>149.3376923723944</v>
      </c>
    </row>
    <row r="174" spans="1:19" x14ac:dyDescent="0.2">
      <c r="A174" s="162">
        <v>11</v>
      </c>
      <c r="B174" s="200">
        <f t="shared" si="45"/>
        <v>44501</v>
      </c>
      <c r="C174" s="224">
        <f t="shared" si="54"/>
        <v>44533</v>
      </c>
      <c r="D174" s="224">
        <f t="shared" si="54"/>
        <v>44557</v>
      </c>
      <c r="E174" s="232" t="s">
        <v>55</v>
      </c>
      <c r="F174" s="124">
        <v>9</v>
      </c>
      <c r="G174" s="203">
        <v>8</v>
      </c>
      <c r="H174" s="204">
        <f t="shared" si="46"/>
        <v>870.64</v>
      </c>
      <c r="I174" s="204">
        <f t="shared" si="44"/>
        <v>888.73</v>
      </c>
      <c r="J174" s="205">
        <f t="shared" si="47"/>
        <v>7109.84</v>
      </c>
      <c r="K174" s="212">
        <f t="shared" si="41"/>
        <v>6965.12</v>
      </c>
      <c r="L174" s="211">
        <f t="shared" si="53"/>
        <v>144.72000000000025</v>
      </c>
      <c r="M174" s="208">
        <f t="shared" si="48"/>
        <v>4.6176923723941341</v>
      </c>
      <c r="N174" s="209">
        <f t="shared" si="49"/>
        <v>149.3376923723944</v>
      </c>
      <c r="O174" s="208">
        <v>0</v>
      </c>
      <c r="P174" s="208">
        <v>0</v>
      </c>
      <c r="Q174" s="208">
        <v>0</v>
      </c>
      <c r="R174" s="209">
        <f t="shared" si="50"/>
        <v>149.3376923723944</v>
      </c>
    </row>
    <row r="175" spans="1:19" s="228" customFormat="1" x14ac:dyDescent="0.2">
      <c r="A175" s="162">
        <v>12</v>
      </c>
      <c r="B175" s="226">
        <f t="shared" si="45"/>
        <v>44531</v>
      </c>
      <c r="C175" s="224">
        <f t="shared" si="54"/>
        <v>44566</v>
      </c>
      <c r="D175" s="224">
        <f t="shared" si="54"/>
        <v>44585</v>
      </c>
      <c r="E175" s="233" t="s">
        <v>55</v>
      </c>
      <c r="F175" s="173">
        <v>9</v>
      </c>
      <c r="G175" s="215">
        <v>11</v>
      </c>
      <c r="H175" s="216">
        <f t="shared" si="46"/>
        <v>870.64</v>
      </c>
      <c r="I175" s="216">
        <f t="shared" si="44"/>
        <v>888.73</v>
      </c>
      <c r="J175" s="217">
        <f t="shared" si="47"/>
        <v>9776.0300000000007</v>
      </c>
      <c r="K175" s="218">
        <f t="shared" si="41"/>
        <v>9577.0399999999991</v>
      </c>
      <c r="L175" s="219">
        <f t="shared" si="53"/>
        <v>198.9900000000016</v>
      </c>
      <c r="M175" s="217">
        <f t="shared" si="48"/>
        <v>6.3493270120419343</v>
      </c>
      <c r="N175" s="242">
        <f t="shared" si="49"/>
        <v>205.33932701204353</v>
      </c>
      <c r="O175" s="217">
        <v>0</v>
      </c>
      <c r="P175" s="217">
        <v>0</v>
      </c>
      <c r="Q175" s="217">
        <v>0</v>
      </c>
      <c r="R175" s="242">
        <f t="shared" si="50"/>
        <v>205.33932701204353</v>
      </c>
    </row>
    <row r="176" spans="1:19" x14ac:dyDescent="0.2">
      <c r="A176" s="124">
        <v>1</v>
      </c>
      <c r="B176" s="200">
        <f t="shared" si="45"/>
        <v>44197</v>
      </c>
      <c r="C176" s="221">
        <f t="shared" ref="C176:D187" si="55">+C152</f>
        <v>44230</v>
      </c>
      <c r="D176" s="221">
        <f t="shared" si="55"/>
        <v>44251</v>
      </c>
      <c r="E176" s="231" t="s">
        <v>56</v>
      </c>
      <c r="F176" s="162">
        <v>9</v>
      </c>
      <c r="G176" s="203">
        <v>20</v>
      </c>
      <c r="H176" s="204">
        <f t="shared" si="46"/>
        <v>870.64</v>
      </c>
      <c r="I176" s="204">
        <f t="shared" si="44"/>
        <v>888.73</v>
      </c>
      <c r="J176" s="205">
        <f t="shared" si="47"/>
        <v>17774.599999999999</v>
      </c>
      <c r="K176" s="206">
        <f t="shared" si="41"/>
        <v>17412.8</v>
      </c>
      <c r="L176" s="207">
        <f t="shared" si="53"/>
        <v>361.79999999999927</v>
      </c>
      <c r="M176" s="208">
        <f t="shared" si="48"/>
        <v>11.544230930985334</v>
      </c>
      <c r="N176" s="209">
        <f t="shared" si="49"/>
        <v>373.34423093098462</v>
      </c>
      <c r="O176" s="208">
        <v>0</v>
      </c>
      <c r="P176" s="208">
        <v>0</v>
      </c>
      <c r="Q176" s="208">
        <v>0</v>
      </c>
      <c r="R176" s="209">
        <f t="shared" si="50"/>
        <v>373.34423093098462</v>
      </c>
    </row>
    <row r="177" spans="1:18" x14ac:dyDescent="0.2">
      <c r="A177" s="162">
        <v>2</v>
      </c>
      <c r="B177" s="200">
        <f t="shared" si="45"/>
        <v>44228</v>
      </c>
      <c r="C177" s="224">
        <f t="shared" si="55"/>
        <v>44258</v>
      </c>
      <c r="D177" s="224">
        <f t="shared" si="55"/>
        <v>44279</v>
      </c>
      <c r="E177" s="54" t="s">
        <v>56</v>
      </c>
      <c r="F177" s="162">
        <v>9</v>
      </c>
      <c r="G177" s="203">
        <v>23</v>
      </c>
      <c r="H177" s="204">
        <f t="shared" si="46"/>
        <v>870.64</v>
      </c>
      <c r="I177" s="204">
        <f t="shared" si="44"/>
        <v>888.73</v>
      </c>
      <c r="J177" s="205">
        <f t="shared" si="47"/>
        <v>20440.79</v>
      </c>
      <c r="K177" s="206">
        <f t="shared" si="41"/>
        <v>20024.72</v>
      </c>
      <c r="L177" s="207">
        <f t="shared" si="53"/>
        <v>416.06999999999971</v>
      </c>
      <c r="M177" s="208">
        <f t="shared" si="48"/>
        <v>13.275865570633135</v>
      </c>
      <c r="N177" s="209">
        <f t="shared" si="49"/>
        <v>429.34586557063284</v>
      </c>
      <c r="O177" s="208">
        <v>0</v>
      </c>
      <c r="P177" s="208">
        <v>0</v>
      </c>
      <c r="Q177" s="208">
        <v>0</v>
      </c>
      <c r="R177" s="209">
        <f t="shared" si="50"/>
        <v>429.34586557063284</v>
      </c>
    </row>
    <row r="178" spans="1:18" x14ac:dyDescent="0.2">
      <c r="A178" s="162">
        <v>3</v>
      </c>
      <c r="B178" s="200">
        <f t="shared" si="45"/>
        <v>44256</v>
      </c>
      <c r="C178" s="224">
        <f t="shared" si="55"/>
        <v>44291</v>
      </c>
      <c r="D178" s="224">
        <f t="shared" si="55"/>
        <v>44312</v>
      </c>
      <c r="E178" s="54" t="s">
        <v>56</v>
      </c>
      <c r="F178" s="162">
        <v>9</v>
      </c>
      <c r="G178" s="203">
        <v>16</v>
      </c>
      <c r="H178" s="204">
        <f t="shared" si="46"/>
        <v>870.64</v>
      </c>
      <c r="I178" s="204">
        <f t="shared" si="44"/>
        <v>888.73</v>
      </c>
      <c r="J178" s="205">
        <f t="shared" si="47"/>
        <v>14219.68</v>
      </c>
      <c r="K178" s="206">
        <f t="shared" si="41"/>
        <v>13930.24</v>
      </c>
      <c r="L178" s="207">
        <f>+J178-K178</f>
        <v>289.44000000000051</v>
      </c>
      <c r="M178" s="208">
        <f t="shared" si="48"/>
        <v>9.2353847447882682</v>
      </c>
      <c r="N178" s="209">
        <f t="shared" si="49"/>
        <v>298.6753847447888</v>
      </c>
      <c r="O178" s="208">
        <v>0</v>
      </c>
      <c r="P178" s="208">
        <v>0</v>
      </c>
      <c r="Q178" s="208">
        <v>0</v>
      </c>
      <c r="R178" s="209">
        <f t="shared" si="50"/>
        <v>298.6753847447888</v>
      </c>
    </row>
    <row r="179" spans="1:18" x14ac:dyDescent="0.2">
      <c r="A179" s="124">
        <v>4</v>
      </c>
      <c r="B179" s="200">
        <f t="shared" si="45"/>
        <v>44287</v>
      </c>
      <c r="C179" s="224">
        <f t="shared" si="55"/>
        <v>44321</v>
      </c>
      <c r="D179" s="224">
        <f t="shared" si="55"/>
        <v>44340</v>
      </c>
      <c r="E179" s="54" t="s">
        <v>56</v>
      </c>
      <c r="F179" s="162">
        <v>9</v>
      </c>
      <c r="G179" s="203">
        <v>20</v>
      </c>
      <c r="H179" s="204">
        <f t="shared" si="46"/>
        <v>870.64</v>
      </c>
      <c r="I179" s="204">
        <f t="shared" si="44"/>
        <v>888.73</v>
      </c>
      <c r="J179" s="205">
        <f t="shared" si="47"/>
        <v>17774.599999999999</v>
      </c>
      <c r="K179" s="206">
        <f t="shared" si="41"/>
        <v>17412.8</v>
      </c>
      <c r="L179" s="207">
        <f t="shared" ref="L179:L189" si="56">+J179-K179</f>
        <v>361.79999999999927</v>
      </c>
      <c r="M179" s="208">
        <f t="shared" si="48"/>
        <v>11.544230930985334</v>
      </c>
      <c r="N179" s="209">
        <f t="shared" si="49"/>
        <v>373.34423093098462</v>
      </c>
      <c r="O179" s="208">
        <v>0</v>
      </c>
      <c r="P179" s="208">
        <v>0</v>
      </c>
      <c r="Q179" s="208">
        <v>0</v>
      </c>
      <c r="R179" s="209">
        <f t="shared" si="50"/>
        <v>373.34423093098462</v>
      </c>
    </row>
    <row r="180" spans="1:18" x14ac:dyDescent="0.2">
      <c r="A180" s="162">
        <v>5</v>
      </c>
      <c r="B180" s="200">
        <f t="shared" si="45"/>
        <v>44317</v>
      </c>
      <c r="C180" s="224">
        <f t="shared" si="55"/>
        <v>44350</v>
      </c>
      <c r="D180" s="224">
        <f t="shared" si="55"/>
        <v>44371</v>
      </c>
      <c r="E180" s="54" t="s">
        <v>56</v>
      </c>
      <c r="F180" s="162">
        <v>9</v>
      </c>
      <c r="G180" s="203">
        <v>27</v>
      </c>
      <c r="H180" s="204">
        <f t="shared" si="46"/>
        <v>870.64</v>
      </c>
      <c r="I180" s="204">
        <f t="shared" ref="I180:I211" si="57">$J$3</f>
        <v>888.73</v>
      </c>
      <c r="J180" s="205">
        <f t="shared" si="47"/>
        <v>23995.71</v>
      </c>
      <c r="K180" s="206">
        <f t="shared" si="41"/>
        <v>23507.279999999999</v>
      </c>
      <c r="L180" s="207">
        <f t="shared" si="56"/>
        <v>488.43000000000029</v>
      </c>
      <c r="M180" s="208">
        <f t="shared" si="48"/>
        <v>15.584711756830202</v>
      </c>
      <c r="N180" s="209">
        <f t="shared" si="49"/>
        <v>504.01471175683048</v>
      </c>
      <c r="O180" s="208">
        <v>0</v>
      </c>
      <c r="P180" s="208">
        <v>0</v>
      </c>
      <c r="Q180" s="208">
        <v>0</v>
      </c>
      <c r="R180" s="209">
        <f t="shared" si="50"/>
        <v>504.01471175683048</v>
      </c>
    </row>
    <row r="181" spans="1:18" x14ac:dyDescent="0.2">
      <c r="A181" s="162">
        <v>6</v>
      </c>
      <c r="B181" s="200">
        <f t="shared" si="45"/>
        <v>44348</v>
      </c>
      <c r="C181" s="224">
        <f t="shared" si="55"/>
        <v>44383</v>
      </c>
      <c r="D181" s="224">
        <f t="shared" si="55"/>
        <v>44401</v>
      </c>
      <c r="E181" s="54" t="s">
        <v>56</v>
      </c>
      <c r="F181" s="162">
        <v>9</v>
      </c>
      <c r="G181" s="203">
        <v>32</v>
      </c>
      <c r="H181" s="204">
        <f t="shared" si="46"/>
        <v>870.64</v>
      </c>
      <c r="I181" s="204">
        <f t="shared" si="57"/>
        <v>888.73</v>
      </c>
      <c r="J181" s="205">
        <f t="shared" si="47"/>
        <v>28439.360000000001</v>
      </c>
      <c r="K181" s="206">
        <f t="shared" si="41"/>
        <v>27860.48</v>
      </c>
      <c r="L181" s="211">
        <f t="shared" si="56"/>
        <v>578.88000000000102</v>
      </c>
      <c r="M181" s="208">
        <f t="shared" si="48"/>
        <v>18.470769489576536</v>
      </c>
      <c r="N181" s="209">
        <f t="shared" si="49"/>
        <v>597.3507694895776</v>
      </c>
      <c r="O181" s="208">
        <v>0</v>
      </c>
      <c r="P181" s="208">
        <v>0</v>
      </c>
      <c r="Q181" s="208">
        <v>0</v>
      </c>
      <c r="R181" s="209">
        <f t="shared" si="50"/>
        <v>597.3507694895776</v>
      </c>
    </row>
    <row r="182" spans="1:18" x14ac:dyDescent="0.2">
      <c r="A182" s="124">
        <v>7</v>
      </c>
      <c r="B182" s="200">
        <f t="shared" si="45"/>
        <v>44378</v>
      </c>
      <c r="C182" s="224">
        <f t="shared" si="55"/>
        <v>44412</v>
      </c>
      <c r="D182" s="224">
        <f t="shared" si="55"/>
        <v>44432</v>
      </c>
      <c r="E182" s="54" t="s">
        <v>56</v>
      </c>
      <c r="F182" s="162">
        <v>9</v>
      </c>
      <c r="G182" s="203">
        <v>37</v>
      </c>
      <c r="H182" s="204">
        <f t="shared" si="46"/>
        <v>870.64</v>
      </c>
      <c r="I182" s="204">
        <f t="shared" si="57"/>
        <v>888.73</v>
      </c>
      <c r="J182" s="205">
        <f t="shared" si="47"/>
        <v>32883.01</v>
      </c>
      <c r="K182" s="212">
        <f t="shared" si="41"/>
        <v>32213.68</v>
      </c>
      <c r="L182" s="211">
        <f t="shared" si="56"/>
        <v>669.33000000000175</v>
      </c>
      <c r="M182" s="208">
        <f t="shared" si="48"/>
        <v>21.35682722232287</v>
      </c>
      <c r="N182" s="209">
        <f t="shared" si="49"/>
        <v>690.68682722232461</v>
      </c>
      <c r="O182" s="208">
        <v>0</v>
      </c>
      <c r="P182" s="208">
        <v>0</v>
      </c>
      <c r="Q182" s="208">
        <v>0</v>
      </c>
      <c r="R182" s="209">
        <f t="shared" si="50"/>
        <v>690.68682722232461</v>
      </c>
    </row>
    <row r="183" spans="1:18" x14ac:dyDescent="0.2">
      <c r="A183" s="162">
        <v>8</v>
      </c>
      <c r="B183" s="200">
        <f t="shared" si="45"/>
        <v>44409</v>
      </c>
      <c r="C183" s="224">
        <f t="shared" si="55"/>
        <v>44442</v>
      </c>
      <c r="D183" s="224">
        <f t="shared" si="55"/>
        <v>44463</v>
      </c>
      <c r="E183" s="54" t="s">
        <v>56</v>
      </c>
      <c r="F183" s="162">
        <v>9</v>
      </c>
      <c r="G183" s="203">
        <v>33</v>
      </c>
      <c r="H183" s="204">
        <f t="shared" si="46"/>
        <v>870.64</v>
      </c>
      <c r="I183" s="204">
        <f t="shared" si="57"/>
        <v>888.73</v>
      </c>
      <c r="J183" s="205">
        <f t="shared" si="47"/>
        <v>29328.09</v>
      </c>
      <c r="K183" s="212">
        <f t="shared" si="41"/>
        <v>28731.119999999999</v>
      </c>
      <c r="L183" s="211">
        <f t="shared" si="56"/>
        <v>596.97000000000116</v>
      </c>
      <c r="M183" s="208">
        <f t="shared" si="48"/>
        <v>19.047981036125801</v>
      </c>
      <c r="N183" s="209">
        <f t="shared" si="49"/>
        <v>616.01798103612691</v>
      </c>
      <c r="O183" s="208">
        <v>0</v>
      </c>
      <c r="P183" s="208">
        <v>0</v>
      </c>
      <c r="Q183" s="208">
        <v>0</v>
      </c>
      <c r="R183" s="209">
        <f t="shared" si="50"/>
        <v>616.01798103612691</v>
      </c>
    </row>
    <row r="184" spans="1:18" x14ac:dyDescent="0.2">
      <c r="A184" s="162">
        <v>9</v>
      </c>
      <c r="B184" s="200">
        <f t="shared" si="45"/>
        <v>44440</v>
      </c>
      <c r="C184" s="224">
        <f t="shared" si="55"/>
        <v>44474</v>
      </c>
      <c r="D184" s="224">
        <f t="shared" si="55"/>
        <v>44494</v>
      </c>
      <c r="E184" s="54" t="s">
        <v>56</v>
      </c>
      <c r="F184" s="162">
        <v>9</v>
      </c>
      <c r="G184" s="203">
        <v>37</v>
      </c>
      <c r="H184" s="204">
        <f t="shared" si="46"/>
        <v>870.64</v>
      </c>
      <c r="I184" s="204">
        <f t="shared" si="57"/>
        <v>888.73</v>
      </c>
      <c r="J184" s="205">
        <f t="shared" si="47"/>
        <v>32883.01</v>
      </c>
      <c r="K184" s="212">
        <f t="shared" si="41"/>
        <v>32213.68</v>
      </c>
      <c r="L184" s="211">
        <f t="shared" si="56"/>
        <v>669.33000000000175</v>
      </c>
      <c r="M184" s="208">
        <f t="shared" si="48"/>
        <v>21.35682722232287</v>
      </c>
      <c r="N184" s="209">
        <f t="shared" si="49"/>
        <v>690.68682722232461</v>
      </c>
      <c r="O184" s="208">
        <v>0</v>
      </c>
      <c r="P184" s="208">
        <v>0</v>
      </c>
      <c r="Q184" s="208">
        <v>0</v>
      </c>
      <c r="R184" s="209">
        <f t="shared" si="50"/>
        <v>690.68682722232461</v>
      </c>
    </row>
    <row r="185" spans="1:18" x14ac:dyDescent="0.2">
      <c r="A185" s="124">
        <v>10</v>
      </c>
      <c r="B185" s="200">
        <f t="shared" si="45"/>
        <v>44470</v>
      </c>
      <c r="C185" s="224">
        <f t="shared" si="55"/>
        <v>44503</v>
      </c>
      <c r="D185" s="224">
        <f t="shared" si="55"/>
        <v>44524</v>
      </c>
      <c r="E185" s="54" t="s">
        <v>56</v>
      </c>
      <c r="F185" s="162">
        <v>9</v>
      </c>
      <c r="G185" s="203">
        <v>27</v>
      </c>
      <c r="H185" s="204">
        <f t="shared" si="46"/>
        <v>870.64</v>
      </c>
      <c r="I185" s="204">
        <f t="shared" si="57"/>
        <v>888.73</v>
      </c>
      <c r="J185" s="205">
        <f t="shared" si="47"/>
        <v>23995.71</v>
      </c>
      <c r="K185" s="212">
        <f t="shared" si="41"/>
        <v>23507.279999999999</v>
      </c>
      <c r="L185" s="211">
        <f t="shared" si="56"/>
        <v>488.43000000000029</v>
      </c>
      <c r="M185" s="208">
        <f t="shared" si="48"/>
        <v>15.584711756830202</v>
      </c>
      <c r="N185" s="209">
        <f t="shared" si="49"/>
        <v>504.01471175683048</v>
      </c>
      <c r="O185" s="208">
        <v>0</v>
      </c>
      <c r="P185" s="208">
        <v>0</v>
      </c>
      <c r="Q185" s="208">
        <v>0</v>
      </c>
      <c r="R185" s="209">
        <f t="shared" si="50"/>
        <v>504.01471175683048</v>
      </c>
    </row>
    <row r="186" spans="1:18" x14ac:dyDescent="0.2">
      <c r="A186" s="162">
        <v>11</v>
      </c>
      <c r="B186" s="200">
        <f t="shared" si="45"/>
        <v>44501</v>
      </c>
      <c r="C186" s="224">
        <f t="shared" si="55"/>
        <v>44533</v>
      </c>
      <c r="D186" s="224">
        <f t="shared" si="55"/>
        <v>44557</v>
      </c>
      <c r="E186" s="54" t="s">
        <v>56</v>
      </c>
      <c r="F186" s="162">
        <v>9</v>
      </c>
      <c r="G186" s="203">
        <v>16</v>
      </c>
      <c r="H186" s="204">
        <f t="shared" si="46"/>
        <v>870.64</v>
      </c>
      <c r="I186" s="204">
        <f t="shared" si="57"/>
        <v>888.73</v>
      </c>
      <c r="J186" s="205">
        <f t="shared" si="47"/>
        <v>14219.68</v>
      </c>
      <c r="K186" s="212">
        <f t="shared" si="41"/>
        <v>13930.24</v>
      </c>
      <c r="L186" s="211">
        <f t="shared" si="56"/>
        <v>289.44000000000051</v>
      </c>
      <c r="M186" s="208">
        <f t="shared" si="48"/>
        <v>9.2353847447882682</v>
      </c>
      <c r="N186" s="209">
        <f t="shared" si="49"/>
        <v>298.6753847447888</v>
      </c>
      <c r="O186" s="208">
        <v>0</v>
      </c>
      <c r="P186" s="208">
        <v>0</v>
      </c>
      <c r="Q186" s="208">
        <v>0</v>
      </c>
      <c r="R186" s="209">
        <f t="shared" si="50"/>
        <v>298.6753847447888</v>
      </c>
    </row>
    <row r="187" spans="1:18" s="228" customFormat="1" x14ac:dyDescent="0.2">
      <c r="A187" s="162">
        <v>12</v>
      </c>
      <c r="B187" s="226">
        <f t="shared" si="45"/>
        <v>44531</v>
      </c>
      <c r="C187" s="229">
        <f t="shared" si="55"/>
        <v>44566</v>
      </c>
      <c r="D187" s="229">
        <f t="shared" si="55"/>
        <v>44585</v>
      </c>
      <c r="E187" s="227" t="s">
        <v>56</v>
      </c>
      <c r="F187" s="173">
        <v>9</v>
      </c>
      <c r="G187" s="215">
        <v>19</v>
      </c>
      <c r="H187" s="216">
        <f t="shared" si="46"/>
        <v>870.64</v>
      </c>
      <c r="I187" s="216">
        <f t="shared" si="57"/>
        <v>888.73</v>
      </c>
      <c r="J187" s="217">
        <f t="shared" si="47"/>
        <v>16885.87</v>
      </c>
      <c r="K187" s="218">
        <f t="shared" si="41"/>
        <v>16542.16</v>
      </c>
      <c r="L187" s="219">
        <f t="shared" si="56"/>
        <v>343.70999999999913</v>
      </c>
      <c r="M187" s="217">
        <f t="shared" si="48"/>
        <v>10.967019384436067</v>
      </c>
      <c r="N187" s="242">
        <f t="shared" si="49"/>
        <v>354.6770193844352</v>
      </c>
      <c r="O187" s="217">
        <v>0</v>
      </c>
      <c r="P187" s="217">
        <v>0</v>
      </c>
      <c r="Q187" s="217">
        <v>0</v>
      </c>
      <c r="R187" s="242">
        <f t="shared" si="50"/>
        <v>354.6770193844352</v>
      </c>
    </row>
    <row r="188" spans="1:18" x14ac:dyDescent="0.2">
      <c r="A188" s="124">
        <v>1</v>
      </c>
      <c r="B188" s="200">
        <f t="shared" si="45"/>
        <v>44197</v>
      </c>
      <c r="C188" s="224">
        <f t="shared" ref="C188:D211" si="58">+C176</f>
        <v>44230</v>
      </c>
      <c r="D188" s="224">
        <f t="shared" si="58"/>
        <v>44251</v>
      </c>
      <c r="E188" s="202" t="s">
        <v>57</v>
      </c>
      <c r="F188" s="124">
        <v>9</v>
      </c>
      <c r="G188" s="203">
        <v>35</v>
      </c>
      <c r="H188" s="204">
        <f t="shared" si="46"/>
        <v>870.64</v>
      </c>
      <c r="I188" s="204">
        <f t="shared" si="57"/>
        <v>888.73</v>
      </c>
      <c r="J188" s="205">
        <f t="shared" si="47"/>
        <v>31105.55</v>
      </c>
      <c r="K188" s="206">
        <f t="shared" si="41"/>
        <v>30472.399999999998</v>
      </c>
      <c r="L188" s="207">
        <f t="shared" si="56"/>
        <v>633.15000000000146</v>
      </c>
      <c r="M188" s="208">
        <f t="shared" si="48"/>
        <v>20.202404129224337</v>
      </c>
      <c r="N188" s="209">
        <f t="shared" si="49"/>
        <v>653.35240412922576</v>
      </c>
      <c r="O188" s="208">
        <v>0</v>
      </c>
      <c r="P188" s="208">
        <v>0</v>
      </c>
      <c r="Q188" s="208">
        <v>0</v>
      </c>
      <c r="R188" s="209">
        <f t="shared" si="50"/>
        <v>653.35240412922576</v>
      </c>
    </row>
    <row r="189" spans="1:18" x14ac:dyDescent="0.2">
      <c r="A189" s="162">
        <v>2</v>
      </c>
      <c r="B189" s="200">
        <f t="shared" si="45"/>
        <v>44228</v>
      </c>
      <c r="C189" s="224">
        <f t="shared" si="58"/>
        <v>44258</v>
      </c>
      <c r="D189" s="224">
        <f t="shared" si="58"/>
        <v>44279</v>
      </c>
      <c r="E189" s="210" t="s">
        <v>57</v>
      </c>
      <c r="F189" s="162">
        <v>9</v>
      </c>
      <c r="G189" s="203">
        <v>33</v>
      </c>
      <c r="H189" s="204">
        <f t="shared" si="46"/>
        <v>870.64</v>
      </c>
      <c r="I189" s="204">
        <f t="shared" si="57"/>
        <v>888.73</v>
      </c>
      <c r="J189" s="205">
        <f t="shared" si="47"/>
        <v>29328.09</v>
      </c>
      <c r="K189" s="206">
        <f t="shared" si="41"/>
        <v>28731.119999999999</v>
      </c>
      <c r="L189" s="207">
        <f t="shared" si="56"/>
        <v>596.97000000000116</v>
      </c>
      <c r="M189" s="208">
        <f t="shared" si="48"/>
        <v>19.047981036125801</v>
      </c>
      <c r="N189" s="209">
        <f t="shared" si="49"/>
        <v>616.01798103612691</v>
      </c>
      <c r="O189" s="208">
        <v>0</v>
      </c>
      <c r="P189" s="208">
        <v>0</v>
      </c>
      <c r="Q189" s="208">
        <v>0</v>
      </c>
      <c r="R189" s="209">
        <f t="shared" si="50"/>
        <v>616.01798103612691</v>
      </c>
    </row>
    <row r="190" spans="1:18" x14ac:dyDescent="0.2">
      <c r="A190" s="162">
        <v>3</v>
      </c>
      <c r="B190" s="200">
        <f t="shared" si="45"/>
        <v>44256</v>
      </c>
      <c r="C190" s="224">
        <f t="shared" si="58"/>
        <v>44291</v>
      </c>
      <c r="D190" s="224">
        <f t="shared" si="58"/>
        <v>44312</v>
      </c>
      <c r="E190" s="210" t="s">
        <v>57</v>
      </c>
      <c r="F190" s="162">
        <v>9</v>
      </c>
      <c r="G190" s="203">
        <v>30</v>
      </c>
      <c r="H190" s="204">
        <f t="shared" si="46"/>
        <v>870.64</v>
      </c>
      <c r="I190" s="204">
        <f t="shared" si="57"/>
        <v>888.73</v>
      </c>
      <c r="J190" s="205">
        <f t="shared" si="47"/>
        <v>26661.9</v>
      </c>
      <c r="K190" s="206">
        <f t="shared" si="41"/>
        <v>26119.200000000001</v>
      </c>
      <c r="L190" s="207">
        <f>+J190-K190</f>
        <v>542.70000000000073</v>
      </c>
      <c r="M190" s="208">
        <f t="shared" si="48"/>
        <v>17.316346396478004</v>
      </c>
      <c r="N190" s="209">
        <f t="shared" si="49"/>
        <v>560.01634639647875</v>
      </c>
      <c r="O190" s="208">
        <v>0</v>
      </c>
      <c r="P190" s="208">
        <v>0</v>
      </c>
      <c r="Q190" s="208">
        <v>0</v>
      </c>
      <c r="R190" s="209">
        <f t="shared" si="50"/>
        <v>560.01634639647875</v>
      </c>
    </row>
    <row r="191" spans="1:18" x14ac:dyDescent="0.2">
      <c r="A191" s="124">
        <v>4</v>
      </c>
      <c r="B191" s="200">
        <f t="shared" si="45"/>
        <v>44287</v>
      </c>
      <c r="C191" s="224">
        <f t="shared" si="58"/>
        <v>44321</v>
      </c>
      <c r="D191" s="224">
        <f t="shared" si="58"/>
        <v>44340</v>
      </c>
      <c r="E191" s="54" t="s">
        <v>57</v>
      </c>
      <c r="F191" s="162">
        <v>9</v>
      </c>
      <c r="G191" s="203">
        <v>32</v>
      </c>
      <c r="H191" s="204">
        <f t="shared" si="46"/>
        <v>870.64</v>
      </c>
      <c r="I191" s="204">
        <f t="shared" si="57"/>
        <v>888.73</v>
      </c>
      <c r="J191" s="205">
        <f t="shared" si="47"/>
        <v>28439.360000000001</v>
      </c>
      <c r="K191" s="206">
        <f t="shared" si="41"/>
        <v>27860.48</v>
      </c>
      <c r="L191" s="207">
        <f t="shared" ref="L191:L201" si="59">+J191-K191</f>
        <v>578.88000000000102</v>
      </c>
      <c r="M191" s="208">
        <f t="shared" si="48"/>
        <v>18.470769489576536</v>
      </c>
      <c r="N191" s="209">
        <f t="shared" si="49"/>
        <v>597.3507694895776</v>
      </c>
      <c r="O191" s="208">
        <v>0</v>
      </c>
      <c r="P191" s="208">
        <v>0</v>
      </c>
      <c r="Q191" s="208">
        <v>0</v>
      </c>
      <c r="R191" s="209">
        <f t="shared" si="50"/>
        <v>597.3507694895776</v>
      </c>
    </row>
    <row r="192" spans="1:18" x14ac:dyDescent="0.2">
      <c r="A192" s="162">
        <v>5</v>
      </c>
      <c r="B192" s="200">
        <f t="shared" si="45"/>
        <v>44317</v>
      </c>
      <c r="C192" s="224">
        <f t="shared" si="58"/>
        <v>44350</v>
      </c>
      <c r="D192" s="224">
        <f t="shared" si="58"/>
        <v>44371</v>
      </c>
      <c r="E192" s="54" t="s">
        <v>57</v>
      </c>
      <c r="F192" s="162">
        <v>9</v>
      </c>
      <c r="G192" s="203">
        <v>40</v>
      </c>
      <c r="H192" s="204">
        <f t="shared" si="46"/>
        <v>870.64</v>
      </c>
      <c r="I192" s="204">
        <f t="shared" si="57"/>
        <v>888.73</v>
      </c>
      <c r="J192" s="205">
        <f t="shared" si="47"/>
        <v>35549.199999999997</v>
      </c>
      <c r="K192" s="206">
        <f t="shared" si="41"/>
        <v>34825.599999999999</v>
      </c>
      <c r="L192" s="207">
        <f t="shared" si="59"/>
        <v>723.59999999999854</v>
      </c>
      <c r="M192" s="208">
        <f t="shared" si="48"/>
        <v>23.088461861970668</v>
      </c>
      <c r="N192" s="209">
        <f t="shared" si="49"/>
        <v>746.68846186196924</v>
      </c>
      <c r="O192" s="208">
        <v>0</v>
      </c>
      <c r="P192" s="208">
        <v>0</v>
      </c>
      <c r="Q192" s="208">
        <v>0</v>
      </c>
      <c r="R192" s="209">
        <f t="shared" si="50"/>
        <v>746.68846186196924</v>
      </c>
    </row>
    <row r="193" spans="1:18" x14ac:dyDescent="0.2">
      <c r="A193" s="162">
        <v>6</v>
      </c>
      <c r="B193" s="200">
        <f t="shared" si="45"/>
        <v>44348</v>
      </c>
      <c r="C193" s="224">
        <f t="shared" si="58"/>
        <v>44383</v>
      </c>
      <c r="D193" s="224">
        <f t="shared" si="58"/>
        <v>44401</v>
      </c>
      <c r="E193" s="54" t="s">
        <v>57</v>
      </c>
      <c r="F193" s="162">
        <v>9</v>
      </c>
      <c r="G193" s="203">
        <v>46</v>
      </c>
      <c r="H193" s="204">
        <f t="shared" si="46"/>
        <v>870.64</v>
      </c>
      <c r="I193" s="204">
        <f t="shared" si="57"/>
        <v>888.73</v>
      </c>
      <c r="J193" s="205">
        <f t="shared" si="47"/>
        <v>40881.58</v>
      </c>
      <c r="K193" s="206">
        <f t="shared" si="41"/>
        <v>40049.440000000002</v>
      </c>
      <c r="L193" s="211">
        <f t="shared" si="59"/>
        <v>832.13999999999942</v>
      </c>
      <c r="M193" s="208">
        <f t="shared" si="48"/>
        <v>26.55173114126627</v>
      </c>
      <c r="N193" s="209">
        <f t="shared" si="49"/>
        <v>858.69173114126568</v>
      </c>
      <c r="O193" s="208">
        <v>0</v>
      </c>
      <c r="P193" s="208">
        <v>0</v>
      </c>
      <c r="Q193" s="208">
        <v>0</v>
      </c>
      <c r="R193" s="209">
        <f t="shared" si="50"/>
        <v>858.69173114126568</v>
      </c>
    </row>
    <row r="194" spans="1:18" x14ac:dyDescent="0.2">
      <c r="A194" s="124">
        <v>7</v>
      </c>
      <c r="B194" s="200">
        <f t="shared" si="45"/>
        <v>44378</v>
      </c>
      <c r="C194" s="224">
        <f t="shared" si="58"/>
        <v>44412</v>
      </c>
      <c r="D194" s="224">
        <f t="shared" si="58"/>
        <v>44432</v>
      </c>
      <c r="E194" s="54" t="s">
        <v>57</v>
      </c>
      <c r="F194" s="162">
        <v>9</v>
      </c>
      <c r="G194" s="203">
        <v>48</v>
      </c>
      <c r="H194" s="204">
        <f t="shared" si="46"/>
        <v>870.64</v>
      </c>
      <c r="I194" s="204">
        <f t="shared" si="57"/>
        <v>888.73</v>
      </c>
      <c r="J194" s="205">
        <f t="shared" si="47"/>
        <v>42659.040000000001</v>
      </c>
      <c r="K194" s="212">
        <f t="shared" si="41"/>
        <v>41790.720000000001</v>
      </c>
      <c r="L194" s="211">
        <f t="shared" si="59"/>
        <v>868.31999999999971</v>
      </c>
      <c r="M194" s="208">
        <f t="shared" si="48"/>
        <v>27.706154234364803</v>
      </c>
      <c r="N194" s="209">
        <f t="shared" si="49"/>
        <v>896.02615423436453</v>
      </c>
      <c r="O194" s="208">
        <v>0</v>
      </c>
      <c r="P194" s="208">
        <v>0</v>
      </c>
      <c r="Q194" s="208">
        <v>0</v>
      </c>
      <c r="R194" s="209">
        <f t="shared" si="50"/>
        <v>896.02615423436453</v>
      </c>
    </row>
    <row r="195" spans="1:18" x14ac:dyDescent="0.2">
      <c r="A195" s="162">
        <v>8</v>
      </c>
      <c r="B195" s="200">
        <f t="shared" si="45"/>
        <v>44409</v>
      </c>
      <c r="C195" s="224">
        <f t="shared" si="58"/>
        <v>44442</v>
      </c>
      <c r="D195" s="224">
        <f t="shared" si="58"/>
        <v>44463</v>
      </c>
      <c r="E195" s="54" t="s">
        <v>57</v>
      </c>
      <c r="F195" s="162">
        <v>9</v>
      </c>
      <c r="G195" s="203">
        <v>50</v>
      </c>
      <c r="H195" s="204">
        <f t="shared" si="46"/>
        <v>870.64</v>
      </c>
      <c r="I195" s="204">
        <f t="shared" si="57"/>
        <v>888.73</v>
      </c>
      <c r="J195" s="205">
        <f t="shared" si="47"/>
        <v>44436.5</v>
      </c>
      <c r="K195" s="212">
        <f t="shared" si="41"/>
        <v>43532</v>
      </c>
      <c r="L195" s="211">
        <f t="shared" si="59"/>
        <v>904.5</v>
      </c>
      <c r="M195" s="208">
        <f t="shared" si="48"/>
        <v>28.860577327463339</v>
      </c>
      <c r="N195" s="209">
        <f t="shared" si="49"/>
        <v>933.36057732746337</v>
      </c>
      <c r="O195" s="208">
        <v>0</v>
      </c>
      <c r="P195" s="208">
        <v>0</v>
      </c>
      <c r="Q195" s="208">
        <v>0</v>
      </c>
      <c r="R195" s="209">
        <f t="shared" si="50"/>
        <v>933.36057732746337</v>
      </c>
    </row>
    <row r="196" spans="1:18" x14ac:dyDescent="0.2">
      <c r="A196" s="162">
        <v>9</v>
      </c>
      <c r="B196" s="200">
        <f t="shared" si="45"/>
        <v>44440</v>
      </c>
      <c r="C196" s="224">
        <f t="shared" si="58"/>
        <v>44474</v>
      </c>
      <c r="D196" s="224">
        <f t="shared" si="58"/>
        <v>44494</v>
      </c>
      <c r="E196" s="54" t="s">
        <v>57</v>
      </c>
      <c r="F196" s="162">
        <v>9</v>
      </c>
      <c r="G196" s="203">
        <v>52</v>
      </c>
      <c r="H196" s="204">
        <f t="shared" si="46"/>
        <v>870.64</v>
      </c>
      <c r="I196" s="204">
        <f t="shared" si="57"/>
        <v>888.73</v>
      </c>
      <c r="J196" s="205">
        <f t="shared" si="47"/>
        <v>46213.96</v>
      </c>
      <c r="K196" s="212">
        <f t="shared" si="41"/>
        <v>45273.279999999999</v>
      </c>
      <c r="L196" s="211">
        <f t="shared" si="59"/>
        <v>940.68000000000029</v>
      </c>
      <c r="M196" s="208">
        <f t="shared" si="48"/>
        <v>30.015000420561872</v>
      </c>
      <c r="N196" s="209">
        <f t="shared" si="49"/>
        <v>970.69500042056211</v>
      </c>
      <c r="O196" s="208">
        <v>0</v>
      </c>
      <c r="P196" s="208">
        <v>0</v>
      </c>
      <c r="Q196" s="208">
        <v>0</v>
      </c>
      <c r="R196" s="209">
        <f t="shared" si="50"/>
        <v>970.69500042056211</v>
      </c>
    </row>
    <row r="197" spans="1:18" x14ac:dyDescent="0.2">
      <c r="A197" s="124">
        <v>10</v>
      </c>
      <c r="B197" s="200">
        <f t="shared" si="45"/>
        <v>44470</v>
      </c>
      <c r="C197" s="224">
        <f t="shared" si="58"/>
        <v>44503</v>
      </c>
      <c r="D197" s="224">
        <f t="shared" si="58"/>
        <v>44524</v>
      </c>
      <c r="E197" s="54" t="s">
        <v>57</v>
      </c>
      <c r="F197" s="162">
        <v>9</v>
      </c>
      <c r="G197" s="203">
        <v>40</v>
      </c>
      <c r="H197" s="204">
        <f t="shared" si="46"/>
        <v>870.64</v>
      </c>
      <c r="I197" s="204">
        <f t="shared" si="57"/>
        <v>888.73</v>
      </c>
      <c r="J197" s="205">
        <f t="shared" si="47"/>
        <v>35549.199999999997</v>
      </c>
      <c r="K197" s="212">
        <f t="shared" si="41"/>
        <v>34825.599999999999</v>
      </c>
      <c r="L197" s="211">
        <f t="shared" si="59"/>
        <v>723.59999999999854</v>
      </c>
      <c r="M197" s="208">
        <f t="shared" si="48"/>
        <v>23.088461861970668</v>
      </c>
      <c r="N197" s="209">
        <f t="shared" si="49"/>
        <v>746.68846186196924</v>
      </c>
      <c r="O197" s="208">
        <v>0</v>
      </c>
      <c r="P197" s="208">
        <v>0</v>
      </c>
      <c r="Q197" s="208">
        <v>0</v>
      </c>
      <c r="R197" s="209">
        <f t="shared" si="50"/>
        <v>746.68846186196924</v>
      </c>
    </row>
    <row r="198" spans="1:18" x14ac:dyDescent="0.2">
      <c r="A198" s="162">
        <v>11</v>
      </c>
      <c r="B198" s="200">
        <f t="shared" si="45"/>
        <v>44501</v>
      </c>
      <c r="C198" s="224">
        <f t="shared" si="58"/>
        <v>44533</v>
      </c>
      <c r="D198" s="224">
        <f t="shared" si="58"/>
        <v>44557</v>
      </c>
      <c r="E198" s="54" t="s">
        <v>57</v>
      </c>
      <c r="F198" s="162">
        <v>9</v>
      </c>
      <c r="G198" s="203">
        <v>32</v>
      </c>
      <c r="H198" s="204">
        <f t="shared" si="46"/>
        <v>870.64</v>
      </c>
      <c r="I198" s="204">
        <f t="shared" si="57"/>
        <v>888.73</v>
      </c>
      <c r="J198" s="205">
        <f t="shared" si="47"/>
        <v>28439.360000000001</v>
      </c>
      <c r="K198" s="212">
        <f t="shared" ref="K198:K209" si="60">+$G198*H198</f>
        <v>27860.48</v>
      </c>
      <c r="L198" s="211">
        <f t="shared" si="59"/>
        <v>578.88000000000102</v>
      </c>
      <c r="M198" s="208">
        <f t="shared" si="48"/>
        <v>18.470769489576536</v>
      </c>
      <c r="N198" s="209">
        <f t="shared" si="49"/>
        <v>597.3507694895776</v>
      </c>
      <c r="O198" s="208">
        <v>0</v>
      </c>
      <c r="P198" s="208">
        <v>0</v>
      </c>
      <c r="Q198" s="208">
        <v>0</v>
      </c>
      <c r="R198" s="209">
        <f t="shared" si="50"/>
        <v>597.3507694895776</v>
      </c>
    </row>
    <row r="199" spans="1:18" s="228" customFormat="1" x14ac:dyDescent="0.2">
      <c r="A199" s="162">
        <v>12</v>
      </c>
      <c r="B199" s="226">
        <f t="shared" si="45"/>
        <v>44531</v>
      </c>
      <c r="C199" s="224">
        <f t="shared" si="58"/>
        <v>44566</v>
      </c>
      <c r="D199" s="224">
        <f t="shared" si="58"/>
        <v>44585</v>
      </c>
      <c r="E199" s="227" t="s">
        <v>57</v>
      </c>
      <c r="F199" s="173">
        <v>9</v>
      </c>
      <c r="G199" s="215">
        <v>35</v>
      </c>
      <c r="H199" s="216">
        <f t="shared" si="46"/>
        <v>870.64</v>
      </c>
      <c r="I199" s="216">
        <f t="shared" si="57"/>
        <v>888.73</v>
      </c>
      <c r="J199" s="217">
        <f t="shared" si="47"/>
        <v>31105.55</v>
      </c>
      <c r="K199" s="218">
        <f t="shared" si="60"/>
        <v>30472.399999999998</v>
      </c>
      <c r="L199" s="219">
        <f t="shared" si="59"/>
        <v>633.15000000000146</v>
      </c>
      <c r="M199" s="208">
        <f t="shared" si="48"/>
        <v>20.202404129224337</v>
      </c>
      <c r="N199" s="209">
        <f t="shared" si="49"/>
        <v>653.35240412922576</v>
      </c>
      <c r="O199" s="208">
        <v>0</v>
      </c>
      <c r="P199" s="208">
        <v>0</v>
      </c>
      <c r="Q199" s="208">
        <v>0</v>
      </c>
      <c r="R199" s="209">
        <f t="shared" si="50"/>
        <v>653.35240412922576</v>
      </c>
    </row>
    <row r="200" spans="1:18" x14ac:dyDescent="0.2">
      <c r="A200" s="124">
        <v>1</v>
      </c>
      <c r="B200" s="200">
        <f t="shared" si="45"/>
        <v>44197</v>
      </c>
      <c r="C200" s="221">
        <f t="shared" si="58"/>
        <v>44230</v>
      </c>
      <c r="D200" s="221">
        <f t="shared" si="58"/>
        <v>44251</v>
      </c>
      <c r="E200" s="202" t="s">
        <v>17</v>
      </c>
      <c r="F200" s="124">
        <v>9</v>
      </c>
      <c r="G200" s="203">
        <v>94</v>
      </c>
      <c r="H200" s="204">
        <f t="shared" si="46"/>
        <v>870.64</v>
      </c>
      <c r="I200" s="204">
        <f t="shared" si="57"/>
        <v>888.73</v>
      </c>
      <c r="J200" s="205">
        <f t="shared" si="47"/>
        <v>83540.62</v>
      </c>
      <c r="K200" s="206">
        <f t="shared" si="60"/>
        <v>81840.160000000003</v>
      </c>
      <c r="L200" s="207">
        <f t="shared" si="59"/>
        <v>1700.4599999999919</v>
      </c>
      <c r="M200" s="208">
        <f t="shared" si="48"/>
        <v>54.257885375631076</v>
      </c>
      <c r="N200" s="209">
        <f t="shared" si="49"/>
        <v>1754.7178853756229</v>
      </c>
      <c r="O200" s="208">
        <v>0</v>
      </c>
      <c r="P200" s="208">
        <v>0</v>
      </c>
      <c r="Q200" s="208">
        <v>0</v>
      </c>
      <c r="R200" s="209">
        <f t="shared" si="50"/>
        <v>1754.7178853756229</v>
      </c>
    </row>
    <row r="201" spans="1:18" x14ac:dyDescent="0.2">
      <c r="A201" s="162">
        <v>2</v>
      </c>
      <c r="B201" s="200">
        <f t="shared" si="45"/>
        <v>44228</v>
      </c>
      <c r="C201" s="224">
        <f t="shared" si="58"/>
        <v>44258</v>
      </c>
      <c r="D201" s="224">
        <f t="shared" si="58"/>
        <v>44279</v>
      </c>
      <c r="E201" s="210" t="s">
        <v>17</v>
      </c>
      <c r="F201" s="162">
        <v>9</v>
      </c>
      <c r="G201" s="203">
        <v>100</v>
      </c>
      <c r="H201" s="204">
        <f t="shared" si="46"/>
        <v>870.64</v>
      </c>
      <c r="I201" s="204">
        <f t="shared" si="57"/>
        <v>888.73</v>
      </c>
      <c r="J201" s="205">
        <f t="shared" si="47"/>
        <v>88873</v>
      </c>
      <c r="K201" s="206">
        <f t="shared" si="60"/>
        <v>87064</v>
      </c>
      <c r="L201" s="207">
        <f t="shared" si="59"/>
        <v>1809</v>
      </c>
      <c r="M201" s="208">
        <f t="shared" si="48"/>
        <v>57.721154654926679</v>
      </c>
      <c r="N201" s="209">
        <f t="shared" si="49"/>
        <v>1866.7211546549267</v>
      </c>
      <c r="O201" s="208">
        <v>0</v>
      </c>
      <c r="P201" s="208">
        <v>0</v>
      </c>
      <c r="Q201" s="208">
        <v>0</v>
      </c>
      <c r="R201" s="209">
        <f t="shared" si="50"/>
        <v>1866.7211546549267</v>
      </c>
    </row>
    <row r="202" spans="1:18" x14ac:dyDescent="0.2">
      <c r="A202" s="162">
        <v>3</v>
      </c>
      <c r="B202" s="200">
        <f t="shared" si="45"/>
        <v>44256</v>
      </c>
      <c r="C202" s="224">
        <f t="shared" si="58"/>
        <v>44291</v>
      </c>
      <c r="D202" s="224">
        <f t="shared" si="58"/>
        <v>44312</v>
      </c>
      <c r="E202" s="210" t="s">
        <v>17</v>
      </c>
      <c r="F202" s="162">
        <v>9</v>
      </c>
      <c r="G202" s="203">
        <v>101</v>
      </c>
      <c r="H202" s="204">
        <f t="shared" si="46"/>
        <v>870.64</v>
      </c>
      <c r="I202" s="204">
        <f t="shared" si="57"/>
        <v>888.73</v>
      </c>
      <c r="J202" s="205">
        <f t="shared" si="47"/>
        <v>89761.73</v>
      </c>
      <c r="K202" s="206">
        <f t="shared" si="60"/>
        <v>87934.64</v>
      </c>
      <c r="L202" s="207">
        <f>+J202-K202</f>
        <v>1827.0899999999965</v>
      </c>
      <c r="M202" s="208">
        <f t="shared" si="48"/>
        <v>58.298366201475943</v>
      </c>
      <c r="N202" s="209">
        <f t="shared" si="49"/>
        <v>1885.3883662014725</v>
      </c>
      <c r="O202" s="208">
        <v>0</v>
      </c>
      <c r="P202" s="208">
        <v>0</v>
      </c>
      <c r="Q202" s="208">
        <v>0</v>
      </c>
      <c r="R202" s="209">
        <f t="shared" si="50"/>
        <v>1885.3883662014725</v>
      </c>
    </row>
    <row r="203" spans="1:18" x14ac:dyDescent="0.2">
      <c r="A203" s="124">
        <v>4</v>
      </c>
      <c r="B203" s="200">
        <f t="shared" si="45"/>
        <v>44287</v>
      </c>
      <c r="C203" s="224">
        <f t="shared" si="58"/>
        <v>44321</v>
      </c>
      <c r="D203" s="224">
        <f t="shared" si="58"/>
        <v>44340</v>
      </c>
      <c r="E203" s="210" t="s">
        <v>17</v>
      </c>
      <c r="F203" s="162">
        <v>9</v>
      </c>
      <c r="G203" s="203">
        <v>98</v>
      </c>
      <c r="H203" s="204">
        <f t="shared" si="46"/>
        <v>870.64</v>
      </c>
      <c r="I203" s="204">
        <f t="shared" si="57"/>
        <v>888.73</v>
      </c>
      <c r="J203" s="205">
        <f t="shared" si="47"/>
        <v>87095.540000000008</v>
      </c>
      <c r="K203" s="206">
        <f t="shared" si="60"/>
        <v>85322.72</v>
      </c>
      <c r="L203" s="207">
        <f t="shared" ref="L203:L211" si="61">+J203-K203</f>
        <v>1772.820000000007</v>
      </c>
      <c r="M203" s="208">
        <f t="shared" si="48"/>
        <v>56.566731561828149</v>
      </c>
      <c r="N203" s="209">
        <f t="shared" si="49"/>
        <v>1829.3867315618352</v>
      </c>
      <c r="O203" s="208">
        <v>0</v>
      </c>
      <c r="P203" s="208">
        <v>0</v>
      </c>
      <c r="Q203" s="208">
        <v>0</v>
      </c>
      <c r="R203" s="209">
        <f t="shared" si="50"/>
        <v>1829.3867315618352</v>
      </c>
    </row>
    <row r="204" spans="1:18" x14ac:dyDescent="0.2">
      <c r="A204" s="162">
        <v>5</v>
      </c>
      <c r="B204" s="200">
        <f t="shared" si="45"/>
        <v>44317</v>
      </c>
      <c r="C204" s="224">
        <f t="shared" si="58"/>
        <v>44350</v>
      </c>
      <c r="D204" s="224">
        <f t="shared" si="58"/>
        <v>44371</v>
      </c>
      <c r="E204" s="54" t="s">
        <v>17</v>
      </c>
      <c r="F204" s="162">
        <v>9</v>
      </c>
      <c r="G204" s="203">
        <v>99</v>
      </c>
      <c r="H204" s="204">
        <f t="shared" si="46"/>
        <v>870.64</v>
      </c>
      <c r="I204" s="204">
        <f t="shared" si="57"/>
        <v>888.73</v>
      </c>
      <c r="J204" s="205">
        <f t="shared" si="47"/>
        <v>87984.27</v>
      </c>
      <c r="K204" s="206">
        <f t="shared" si="60"/>
        <v>86193.36</v>
      </c>
      <c r="L204" s="207">
        <f t="shared" si="61"/>
        <v>1790.9100000000035</v>
      </c>
      <c r="M204" s="208">
        <f t="shared" si="48"/>
        <v>57.143943108377414</v>
      </c>
      <c r="N204" s="209">
        <f t="shared" si="49"/>
        <v>1848.053943108381</v>
      </c>
      <c r="O204" s="208">
        <v>0</v>
      </c>
      <c r="P204" s="208">
        <v>0</v>
      </c>
      <c r="Q204" s="208">
        <v>0</v>
      </c>
      <c r="R204" s="209">
        <f t="shared" si="50"/>
        <v>1848.053943108381</v>
      </c>
    </row>
    <row r="205" spans="1:18" x14ac:dyDescent="0.2">
      <c r="A205" s="162">
        <v>6</v>
      </c>
      <c r="B205" s="200">
        <f t="shared" si="45"/>
        <v>44348</v>
      </c>
      <c r="C205" s="224">
        <f t="shared" si="58"/>
        <v>44383</v>
      </c>
      <c r="D205" s="224">
        <f t="shared" si="58"/>
        <v>44401</v>
      </c>
      <c r="E205" s="54" t="s">
        <v>17</v>
      </c>
      <c r="F205" s="162">
        <v>9</v>
      </c>
      <c r="G205" s="203">
        <v>113</v>
      </c>
      <c r="H205" s="204">
        <f t="shared" si="46"/>
        <v>870.64</v>
      </c>
      <c r="I205" s="204">
        <f t="shared" si="57"/>
        <v>888.73</v>
      </c>
      <c r="J205" s="205">
        <f t="shared" si="47"/>
        <v>100426.49</v>
      </c>
      <c r="K205" s="206">
        <f t="shared" si="60"/>
        <v>98382.319999999992</v>
      </c>
      <c r="L205" s="211">
        <f t="shared" si="61"/>
        <v>2044.1700000000128</v>
      </c>
      <c r="M205" s="208">
        <f t="shared" si="48"/>
        <v>65.224904760067147</v>
      </c>
      <c r="N205" s="209">
        <f t="shared" si="49"/>
        <v>2109.39490476008</v>
      </c>
      <c r="O205" s="208">
        <v>0</v>
      </c>
      <c r="P205" s="208">
        <v>0</v>
      </c>
      <c r="Q205" s="208">
        <v>0</v>
      </c>
      <c r="R205" s="209">
        <f t="shared" si="50"/>
        <v>2109.39490476008</v>
      </c>
    </row>
    <row r="206" spans="1:18" x14ac:dyDescent="0.2">
      <c r="A206" s="124">
        <v>7</v>
      </c>
      <c r="B206" s="200">
        <f t="shared" si="45"/>
        <v>44378</v>
      </c>
      <c r="C206" s="224">
        <f t="shared" si="58"/>
        <v>44412</v>
      </c>
      <c r="D206" s="224">
        <f t="shared" si="58"/>
        <v>44432</v>
      </c>
      <c r="E206" s="54" t="s">
        <v>17</v>
      </c>
      <c r="F206" s="162">
        <v>9</v>
      </c>
      <c r="G206" s="203">
        <v>116</v>
      </c>
      <c r="H206" s="204">
        <f t="shared" si="46"/>
        <v>870.64</v>
      </c>
      <c r="I206" s="204">
        <f t="shared" si="57"/>
        <v>888.73</v>
      </c>
      <c r="J206" s="205">
        <f t="shared" si="47"/>
        <v>103092.68000000001</v>
      </c>
      <c r="K206" s="212">
        <f t="shared" si="60"/>
        <v>100994.24000000001</v>
      </c>
      <c r="L206" s="211">
        <f t="shared" si="61"/>
        <v>2098.4400000000023</v>
      </c>
      <c r="M206" s="208">
        <f t="shared" si="48"/>
        <v>66.956539399714941</v>
      </c>
      <c r="N206" s="209">
        <f t="shared" si="49"/>
        <v>2165.3965393997173</v>
      </c>
      <c r="O206" s="208">
        <v>0</v>
      </c>
      <c r="P206" s="208">
        <v>0</v>
      </c>
      <c r="Q206" s="208">
        <v>0</v>
      </c>
      <c r="R206" s="209">
        <f t="shared" si="50"/>
        <v>2165.3965393997173</v>
      </c>
    </row>
    <row r="207" spans="1:18" x14ac:dyDescent="0.2">
      <c r="A207" s="162">
        <v>8</v>
      </c>
      <c r="B207" s="200">
        <f t="shared" si="45"/>
        <v>44409</v>
      </c>
      <c r="C207" s="224">
        <f t="shared" si="58"/>
        <v>44442</v>
      </c>
      <c r="D207" s="224">
        <f t="shared" si="58"/>
        <v>44463</v>
      </c>
      <c r="E207" s="54" t="s">
        <v>17</v>
      </c>
      <c r="F207" s="162">
        <v>9</v>
      </c>
      <c r="G207" s="203">
        <v>116</v>
      </c>
      <c r="H207" s="204">
        <f t="shared" si="46"/>
        <v>870.64</v>
      </c>
      <c r="I207" s="204">
        <f t="shared" si="57"/>
        <v>888.73</v>
      </c>
      <c r="J207" s="205">
        <f t="shared" si="47"/>
        <v>103092.68000000001</v>
      </c>
      <c r="K207" s="212">
        <f t="shared" si="60"/>
        <v>100994.24000000001</v>
      </c>
      <c r="L207" s="211">
        <f t="shared" si="61"/>
        <v>2098.4400000000023</v>
      </c>
      <c r="M207" s="208">
        <f t="shared" si="48"/>
        <v>66.956539399714941</v>
      </c>
      <c r="N207" s="209">
        <f t="shared" si="49"/>
        <v>2165.3965393997173</v>
      </c>
      <c r="O207" s="208">
        <v>0</v>
      </c>
      <c r="P207" s="208">
        <v>0</v>
      </c>
      <c r="Q207" s="208">
        <v>0</v>
      </c>
      <c r="R207" s="209">
        <f t="shared" si="50"/>
        <v>2165.3965393997173</v>
      </c>
    </row>
    <row r="208" spans="1:18" x14ac:dyDescent="0.2">
      <c r="A208" s="162">
        <v>9</v>
      </c>
      <c r="B208" s="200">
        <f t="shared" si="45"/>
        <v>44440</v>
      </c>
      <c r="C208" s="224">
        <f t="shared" si="58"/>
        <v>44474</v>
      </c>
      <c r="D208" s="224">
        <f t="shared" si="58"/>
        <v>44494</v>
      </c>
      <c r="E208" s="54" t="s">
        <v>17</v>
      </c>
      <c r="F208" s="162">
        <v>9</v>
      </c>
      <c r="G208" s="203">
        <v>116</v>
      </c>
      <c r="H208" s="204">
        <f t="shared" si="46"/>
        <v>870.64</v>
      </c>
      <c r="I208" s="204">
        <f t="shared" si="57"/>
        <v>888.73</v>
      </c>
      <c r="J208" s="205">
        <f t="shared" si="47"/>
        <v>103092.68000000001</v>
      </c>
      <c r="K208" s="212">
        <f t="shared" si="60"/>
        <v>100994.24000000001</v>
      </c>
      <c r="L208" s="211">
        <f t="shared" si="61"/>
        <v>2098.4400000000023</v>
      </c>
      <c r="M208" s="208">
        <f t="shared" si="48"/>
        <v>66.956539399714941</v>
      </c>
      <c r="N208" s="209">
        <f t="shared" si="49"/>
        <v>2165.3965393997173</v>
      </c>
      <c r="O208" s="208">
        <v>0</v>
      </c>
      <c r="P208" s="208">
        <v>0</v>
      </c>
      <c r="Q208" s="208">
        <v>0</v>
      </c>
      <c r="R208" s="209">
        <f t="shared" si="50"/>
        <v>2165.3965393997173</v>
      </c>
    </row>
    <row r="209" spans="1:18" x14ac:dyDescent="0.2">
      <c r="A209" s="124">
        <v>10</v>
      </c>
      <c r="B209" s="200">
        <f t="shared" si="45"/>
        <v>44470</v>
      </c>
      <c r="C209" s="224">
        <f t="shared" si="58"/>
        <v>44503</v>
      </c>
      <c r="D209" s="224">
        <f t="shared" si="58"/>
        <v>44524</v>
      </c>
      <c r="E209" s="54" t="s">
        <v>17</v>
      </c>
      <c r="F209" s="162">
        <v>9</v>
      </c>
      <c r="G209" s="203">
        <v>105</v>
      </c>
      <c r="H209" s="204">
        <f t="shared" si="46"/>
        <v>870.64</v>
      </c>
      <c r="I209" s="204">
        <f t="shared" si="57"/>
        <v>888.73</v>
      </c>
      <c r="J209" s="205">
        <f t="shared" si="47"/>
        <v>93316.650000000009</v>
      </c>
      <c r="K209" s="212">
        <f t="shared" si="60"/>
        <v>91417.2</v>
      </c>
      <c r="L209" s="211">
        <f t="shared" si="61"/>
        <v>1899.4500000000116</v>
      </c>
      <c r="M209" s="208">
        <f t="shared" si="48"/>
        <v>60.607212387673009</v>
      </c>
      <c r="N209" s="209">
        <f t="shared" si="49"/>
        <v>1960.0572123876846</v>
      </c>
      <c r="O209" s="208">
        <v>0</v>
      </c>
      <c r="P209" s="208">
        <v>0</v>
      </c>
      <c r="Q209" s="208">
        <v>0</v>
      </c>
      <c r="R209" s="209">
        <f t="shared" si="50"/>
        <v>1960.0572123876846</v>
      </c>
    </row>
    <row r="210" spans="1:18" x14ac:dyDescent="0.2">
      <c r="A210" s="162">
        <v>11</v>
      </c>
      <c r="B210" s="200">
        <f t="shared" si="45"/>
        <v>44501</v>
      </c>
      <c r="C210" s="224">
        <f t="shared" si="58"/>
        <v>44533</v>
      </c>
      <c r="D210" s="224">
        <f t="shared" si="58"/>
        <v>44557</v>
      </c>
      <c r="E210" s="54" t="s">
        <v>17</v>
      </c>
      <c r="F210" s="162">
        <v>9</v>
      </c>
      <c r="G210" s="203">
        <v>100</v>
      </c>
      <c r="H210" s="204">
        <f t="shared" si="46"/>
        <v>870.64</v>
      </c>
      <c r="I210" s="204">
        <f t="shared" si="57"/>
        <v>888.73</v>
      </c>
      <c r="J210" s="205">
        <f t="shared" si="47"/>
        <v>88873</v>
      </c>
      <c r="K210" s="212">
        <f>+$G210*H210</f>
        <v>87064</v>
      </c>
      <c r="L210" s="211">
        <f t="shared" si="61"/>
        <v>1809</v>
      </c>
      <c r="M210" s="208">
        <f t="shared" si="48"/>
        <v>57.721154654926679</v>
      </c>
      <c r="N210" s="209">
        <f t="shared" si="49"/>
        <v>1866.7211546549267</v>
      </c>
      <c r="O210" s="208">
        <v>0</v>
      </c>
      <c r="P210" s="208">
        <v>0</v>
      </c>
      <c r="Q210" s="208">
        <v>0</v>
      </c>
      <c r="R210" s="209">
        <f t="shared" si="50"/>
        <v>1866.7211546549267</v>
      </c>
    </row>
    <row r="211" spans="1:18" s="228" customFormat="1" x14ac:dyDescent="0.2">
      <c r="A211" s="162">
        <v>12</v>
      </c>
      <c r="B211" s="226">
        <f t="shared" si="45"/>
        <v>44531</v>
      </c>
      <c r="C211" s="229">
        <f t="shared" si="58"/>
        <v>44566</v>
      </c>
      <c r="D211" s="229">
        <f t="shared" si="58"/>
        <v>44585</v>
      </c>
      <c r="E211" s="227" t="s">
        <v>17</v>
      </c>
      <c r="F211" s="173">
        <v>9</v>
      </c>
      <c r="G211" s="215">
        <v>103</v>
      </c>
      <c r="H211" s="216">
        <f t="shared" si="46"/>
        <v>870.64</v>
      </c>
      <c r="I211" s="216">
        <f t="shared" si="57"/>
        <v>888.73</v>
      </c>
      <c r="J211" s="217">
        <f t="shared" si="47"/>
        <v>91539.19</v>
      </c>
      <c r="K211" s="218">
        <f>+$G211*H211</f>
        <v>89675.92</v>
      </c>
      <c r="L211" s="219">
        <f t="shared" si="61"/>
        <v>1863.2700000000041</v>
      </c>
      <c r="M211" s="217">
        <f t="shared" si="48"/>
        <v>59.45278929457448</v>
      </c>
      <c r="N211" s="209">
        <f t="shared" si="49"/>
        <v>1922.7227892945787</v>
      </c>
      <c r="O211" s="208">
        <v>0</v>
      </c>
      <c r="P211" s="208">
        <v>0</v>
      </c>
      <c r="Q211" s="208">
        <v>0</v>
      </c>
      <c r="R211" s="209">
        <f t="shared" si="50"/>
        <v>1922.7227892945787</v>
      </c>
    </row>
    <row r="212" spans="1:18" x14ac:dyDescent="0.2">
      <c r="G212" s="234">
        <f>SUM(G20:G211)</f>
        <v>98311</v>
      </c>
      <c r="H212" s="51"/>
      <c r="I212" s="51"/>
      <c r="J212" s="51">
        <f>SUM(J20:J211)</f>
        <v>87371935.030000061</v>
      </c>
      <c r="K212" s="51">
        <f>SUM(K20:K211)</f>
        <v>85593489.039999962</v>
      </c>
      <c r="L212" s="51">
        <f>SUM(L20:L211)</f>
        <v>1778445.9900000021</v>
      </c>
      <c r="M212" s="51">
        <f>SUM(M20:M211)</f>
        <v>56746.244352804963</v>
      </c>
      <c r="N212" s="51"/>
      <c r="O212" s="51"/>
      <c r="P212" s="51">
        <f>SUM(P20:P211)</f>
        <v>0</v>
      </c>
      <c r="Q212" s="51"/>
      <c r="R212" s="235">
        <f>SUM(R20:R211)</f>
        <v>1835192.2343528082</v>
      </c>
    </row>
    <row r="213" spans="1:18" x14ac:dyDescent="0.2">
      <c r="P213" s="51"/>
      <c r="Q213" s="51"/>
    </row>
    <row r="220" spans="1:18" x14ac:dyDescent="0.2">
      <c r="D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</sheetData>
  <mergeCells count="4">
    <mergeCell ref="G2:H2"/>
    <mergeCell ref="G3:H3"/>
    <mergeCell ref="G7:H7"/>
    <mergeCell ref="G8:H8"/>
  </mergeCells>
  <phoneticPr fontId="0" type="noConversion"/>
  <pageMargins left="0.5" right="0.5" top="1.05" bottom="1" header="0.31" footer="0.5"/>
  <pageSetup scale="76" fitToWidth="2" fitToHeight="0" orientation="landscape" cellComments="asDisplayed" r:id="rId1"/>
  <headerFooter alignWithMargins="0">
    <oddHeader>&amp;R&amp;F  &amp;A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e9c0b8d7-bdb4-4fd3-b62a-f50327aaefce" origin="userSelected">
  <element uid="50c31824-0780-4910-87d1-eaaffd182d42" value=""/>
</sisl>
</file>

<file path=customXml/item2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lOWMwYjhkNy1iZGI0LTRmZDMtYjYyYS1mNTAzMjdhYWVmY2UiIG9yaWdpbj0iYXV0b1NlbGVjdGVkU3VnZ2VzdGlvbiI+PGVsZW1lbnQgdWlkPSI1MGMzMTgyNC0wNzgwLTQ5MTAtODdkMS1lYWFmZmQxODJkNDIiIHZhbHVlPSIiIHhtbG5zPSJodHRwOi8vd3d3LmJvbGRvbmphbWVzLmNvbS8yMDA4LzAxL3NpZS9pbnRlcm5hbC9sYWJlbCIgLz48ZWxlbWVudCB1aWQ9ImM2NDIxOGFiLWI4ZDEtNDBiNi1hNDc4LWNiOGJlMWUxMGVjYyIgdmFsdWU9IiIgeG1sbnM9Imh0dHA6Ly93d3cuYm9sZG9uamFtZXMuY29tLzIwMDgvMDEvc2llL2ludGVybmFsL2xhYmVsIiAvPjwvc2lzbD48VXNlck5hbWU+Q09SUFxzMTc3MDQwPC9Vc2VyTmFtZT48RGF0ZVRpbWU+NC80LzIwMjIgMzoxMDozNSBQTTwvRGF0ZVRpbWU+PExhYmVsU3RyaW5nPkFFUCBJbnRlcm5hbDwvTGFiZWxTdHJpbmc+PC9pdGVtPjxpdGVtPjxzaXNsIHNpc2xWZXJzaW9uPSIwIiBwb2xpY3k9ImU5YzBiOGQ3LWJkYjQtNGZkMy1iNjJhLWY1MDMyN2FhZWZjZSIgb3JpZ2luPSJ1c2VyU2VsZWN0ZWQiPjxlbGVtZW50IHVpZD0iNTBjMzE4MjQtMDc4MC00OTEwLTg3ZDEtZWFhZmZkMTgyZDQyIiB2YWx1ZT0iIiB4bWxucz0iaHR0cDovL3d3dy5ib2xkb25qYW1lcy5jb20vMjAwOC8wMS9zaWUvaW50ZXJuYWwvbGFiZWwiIC8+PC9zaXNsPjxVc2VyTmFtZT5DT1JQXHMxNzcwNDA8L1VzZXJOYW1lPjxEYXRlVGltZT41LzIzLzIwMjIgNTozNjoxMCBQTTwvRGF0ZVRpbWU+PExhYmVsU3RyaW5nPkFFUCBJbnRlcm5hbDwvTGFiZWxTdHJpbmc+PC9pdGVtPjwvbGFiZWxIaXN0b3J5Pg==</Value>
</WrappedLabelHistory>
</file>

<file path=customXml/itemProps1.xml><?xml version="1.0" encoding="utf-8"?>
<ds:datastoreItem xmlns:ds="http://schemas.openxmlformats.org/officeDocument/2006/customXml" ds:itemID="{C599655D-1F26-4CF5-BF38-10D54634A543}">
  <ds:schemaRefs>
    <ds:schemaRef ds:uri="http://www.w3.org/2001/XMLSchema"/>
    <ds:schemaRef ds:uri="http://www.boldonjames.com/2008/01/sie/internal/label"/>
  </ds:schemaRefs>
</ds:datastoreItem>
</file>

<file path=customXml/itemProps2.xml><?xml version="1.0" encoding="utf-8"?>
<ds:datastoreItem xmlns:ds="http://schemas.openxmlformats.org/officeDocument/2006/customXml" ds:itemID="{E3D43697-9F71-49FA-BC17-9790EE502BD4}">
  <ds:schemaRefs>
    <ds:schemaRef ds:uri="http://www.w3.org/2001/XMLSchema"/>
    <ds:schemaRef ds:uri="http://www.boldonjames.com/2016/02/Classifier/internal/wrappedLabelHistor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Instructions</vt:lpstr>
      <vt:lpstr>Summary</vt:lpstr>
      <vt:lpstr>Pivot</vt:lpstr>
      <vt:lpstr>Transactions</vt:lpstr>
      <vt:lpstr>Transactions!AS1_1999</vt:lpstr>
      <vt:lpstr>Summary!Print_Area</vt:lpstr>
      <vt:lpstr>Transactions!Print_Area</vt:lpstr>
      <vt:lpstr>Pivot!Print_Titles</vt:lpstr>
      <vt:lpstr>Transactions!Print_Titles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Williamson</dc:creator>
  <cp:keywords/>
  <cp:lastModifiedBy>s177040</cp:lastModifiedBy>
  <cp:lastPrinted>2018-05-15T12:29:53Z</cp:lastPrinted>
  <dcterms:created xsi:type="dcterms:W3CDTF">2009-09-04T18:19:13Z</dcterms:created>
  <dcterms:modified xsi:type="dcterms:W3CDTF">2022-05-29T23:27:49Z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4e4d00fa-2934-471b-88ac-5bd852cdb2aa</vt:lpwstr>
  </property>
  <property fmtid="{D5CDD505-2E9C-101B-9397-08002B2CF9AE}" pid="3" name="bjSaver">
    <vt:lpwstr>clRxCTTKA7z930TtRLwKph96GxWYXtbn</vt:lpwstr>
  </property>
  <property fmtid="{D5CDD505-2E9C-101B-9397-08002B2CF9AE}" pid="4" name="bjDocumentSecurityLabel">
    <vt:lpwstr>AEP Internal</vt:lpwstr>
  </property>
  <property fmtid="{D5CDD505-2E9C-101B-9397-08002B2CF9AE}" pid="5" name="Visual Markings Removed">
    <vt:lpwstr>No</vt:lpwstr>
  </property>
  <property fmtid="{D5CDD505-2E9C-101B-9397-08002B2CF9AE}" pid="6" name="bjClsUserRVM">
    <vt:lpwstr>[]</vt:lpwstr>
  </property>
  <property fmtid="{D5CDD505-2E9C-101B-9397-08002B2CF9AE}" pid="7" name="MSIP_Label_69f43042-6bda-44b2-91eb-eca3d3d484f4_SiteId">
    <vt:lpwstr>15f3c881-6b03-4ff6-8559-77bf5177818f</vt:lpwstr>
  </property>
  <property fmtid="{D5CDD505-2E9C-101B-9397-08002B2CF9AE}" pid="8" name="MSIP_Label_69f43042-6bda-44b2-91eb-eca3d3d484f4_Name">
    <vt:lpwstr>AEP Internal</vt:lpwstr>
  </property>
  <property fmtid="{D5CDD505-2E9C-101B-9397-08002B2CF9AE}" pid="9" name="MSIP_Label_69f43042-6bda-44b2-91eb-eca3d3d484f4_Enabled">
    <vt:lpwstr>true</vt:lpwstr>
  </property>
  <property fmtid="{D5CDD505-2E9C-101B-9397-08002B2CF9AE}" pid="10" name="bjDocumentLabelXML">
    <vt:lpwstr>&lt;?xml version="1.0" encoding="us-ascii"?&gt;&lt;sisl xmlns:xsi="http://www.w3.org/2001/XMLSchema-instance" xmlns:xsd="http://www.w3.org/2001/XMLSchema" sislVersion="0" policy="e9c0b8d7-bdb4-4fd3-b62a-f50327aaefce" origin="userSelected" xmlns="http://www.boldonj</vt:lpwstr>
  </property>
  <property fmtid="{D5CDD505-2E9C-101B-9397-08002B2CF9AE}" pid="11" name="bjDocumentLabelXML-0">
    <vt:lpwstr>ames.com/2008/01/sie/internal/label"&gt;&lt;element uid="50c31824-0780-4910-87d1-eaaffd182d42" value="" /&gt;&lt;/sisl&gt;</vt:lpwstr>
  </property>
  <property fmtid="{D5CDD505-2E9C-101B-9397-08002B2CF9AE}" pid="12" name="bjLabelHistoryID">
    <vt:lpwstr>{E3D43697-9F71-49FA-BC17-9790EE502BD4}</vt:lpwstr>
  </property>
</Properties>
</file>